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32760" windowWidth="20730" windowHeight="11160" activeTab="2"/>
  </bookViews>
  <sheets>
    <sheet name="Cost of Attendance" sheetId="1" r:id="rId1"/>
    <sheet name="School DATA" sheetId="2" state="hidden" r:id="rId2"/>
    <sheet name="Checklist" sheetId="3" r:id="rId3"/>
  </sheets>
  <definedNames>
    <definedName name="_xlfn._FV" hidden="1">#NAME?</definedName>
    <definedName name="_xlnm.Print_Area" localSheetId="0">'Cost of Attendance'!$A$1:$F$94</definedName>
  </definedNames>
  <calcPr fullCalcOnLoad="1"/>
</workbook>
</file>

<file path=xl/sharedStrings.xml><?xml version="1.0" encoding="utf-8"?>
<sst xmlns="http://schemas.openxmlformats.org/spreadsheetml/2006/main" count="449" uniqueCount="388">
  <si>
    <t>What is you EFC (top right of front page of SAR) Even zero must be entered</t>
  </si>
  <si>
    <t>Personal</t>
  </si>
  <si>
    <t>Y</t>
  </si>
  <si>
    <t>N</t>
  </si>
  <si>
    <t>Application/Student Number</t>
  </si>
  <si>
    <t>Sub</t>
  </si>
  <si>
    <t>postgraduates</t>
  </si>
  <si>
    <t>Undergraduate1</t>
  </si>
  <si>
    <t>Undergraduate2</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</si>
  <si>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</si>
  <si>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</si>
  <si>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</si>
  <si>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</si>
  <si>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</si>
  <si>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</si>
  <si>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</si>
  <si>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</si>
  <si>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</si>
  <si>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</si>
  <si>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</si>
  <si>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</si>
  <si>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</si>
  <si>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</si>
  <si>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</si>
  <si>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</si>
  <si>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</si>
  <si>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</si>
  <si>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</si>
  <si>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</si>
  <si>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</si>
  <si>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</si>
  <si>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</si>
  <si>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</si>
  <si>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</si>
  <si>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</si>
  <si>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</si>
  <si>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</si>
  <si>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</si>
  <si>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</si>
  <si>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</si>
  <si>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</si>
  <si>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</si>
  <si>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</si>
  <si>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</si>
  <si>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</si>
  <si>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</si>
  <si>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</si>
  <si>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</si>
  <si>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</si>
  <si>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</si>
  <si>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</si>
  <si>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</si>
  <si>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</si>
  <si>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</si>
  <si>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</si>
  <si>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</si>
  <si>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</si>
  <si>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</si>
  <si>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</si>
  <si>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</si>
  <si>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</si>
  <si>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</si>
  <si>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</si>
  <si>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</si>
  <si>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</si>
  <si>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</si>
  <si>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</si>
  <si>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</si>
  <si>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</si>
  <si>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</si>
  <si>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</si>
  <si>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</si>
  <si>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</si>
  <si>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</si>
  <si>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</si>
  <si>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</si>
  <si>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</si>
  <si>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</si>
  <si>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Origination Fees</t>
  </si>
  <si>
    <t>Loan Type</t>
  </si>
  <si>
    <t>% Rate</t>
  </si>
  <si>
    <t>Loan Dates</t>
  </si>
  <si>
    <t>Undergrads</t>
  </si>
  <si>
    <t>Start</t>
  </si>
  <si>
    <t>End</t>
  </si>
  <si>
    <t>Postgrads</t>
  </si>
  <si>
    <t>Disburse Dates</t>
  </si>
  <si>
    <t>Please put Y or N in the response box for each question</t>
  </si>
  <si>
    <t>Checklist for Direct List Loan Applications</t>
  </si>
  <si>
    <t>Response</t>
  </si>
  <si>
    <t>If everything is correct we will originate your loans and issue a certificate for visa application</t>
  </si>
  <si>
    <t>Provide evidence of your needs for any increase to  PLUS to be considered or borrow less in Section 6</t>
  </si>
  <si>
    <t>After Origination Fees You Get</t>
  </si>
  <si>
    <t>What does your SAR say for "dependancy status" Only answer I or D</t>
  </si>
  <si>
    <t>School Comments</t>
  </si>
  <si>
    <t>Only Y or N</t>
  </si>
  <si>
    <t>Have you applied for a PLUS Loan</t>
  </si>
  <si>
    <t>Selective Service</t>
  </si>
  <si>
    <t>Promissory Notes</t>
  </si>
  <si>
    <t>Entrance Counselling</t>
  </si>
  <si>
    <t>Have you attached your entrance counselling completion</t>
  </si>
  <si>
    <t>Allowed</t>
  </si>
  <si>
    <t>line 1</t>
  </si>
  <si>
    <t>line 2</t>
  </si>
  <si>
    <t>line 3</t>
  </si>
  <si>
    <t>line 4</t>
  </si>
  <si>
    <t>123 45 6789</t>
  </si>
  <si>
    <t>The default setting is "N"</t>
  </si>
  <si>
    <t>If there are no school comments then we have sufficient information to start the origination process. If anything is missing or incorrect, then we cannot originate your loans.</t>
  </si>
  <si>
    <t>Max Loans Allowed Adjusted for Fees</t>
  </si>
  <si>
    <t>Max Loan after grossing up for Fees adjustments</t>
  </si>
  <si>
    <t>Are you female</t>
  </si>
  <si>
    <t>put 2nd date</t>
  </si>
  <si>
    <t>put 3rd date or blank</t>
  </si>
  <si>
    <t>put 4th date or blank</t>
  </si>
  <si>
    <t>ONLY ENTER DATES</t>
  </si>
  <si>
    <t>VALUES ARE AUTOMATIC</t>
  </si>
  <si>
    <t>Interest</t>
  </si>
  <si>
    <t>Rebate</t>
  </si>
  <si>
    <t>Actual</t>
  </si>
  <si>
    <t>Factor</t>
  </si>
  <si>
    <t>Total (after rounding, may be slightly higher than total of section 4)</t>
  </si>
  <si>
    <t>Government Fees *** Deducted</t>
  </si>
  <si>
    <t>SCHOOL COMMENT ON YOUR PROPOSED COSTS &amp; ELIGIBLE LOANS</t>
  </si>
  <si>
    <t>Final</t>
  </si>
  <si>
    <t>Next review date for Exchange Rate</t>
  </si>
  <si>
    <t>Total Eligible before adjustment for Fees</t>
  </si>
  <si>
    <t>MAXIMUM LOAN LEVELS AVAILABLE</t>
  </si>
  <si>
    <t>CONVERTING FEES AND CONTRIBUTIONS TO DOLLARS</t>
  </si>
  <si>
    <t>CONVERTING WEEKLY COSTS TO DOLLARS</t>
  </si>
  <si>
    <t>PLUS NEED</t>
  </si>
  <si>
    <t>Need for PLUS</t>
  </si>
  <si>
    <t>PLUS Available</t>
  </si>
  <si>
    <t>Sub available</t>
  </si>
  <si>
    <t>ORIG FEE INC</t>
  </si>
  <si>
    <t>Sub Orig Fee</t>
  </si>
  <si>
    <t>Unsub Orig Fee</t>
  </si>
  <si>
    <t>PLUS Orig fee</t>
  </si>
  <si>
    <t>DISBURSEMENTS</t>
  </si>
  <si>
    <t>ORIG FEE NOT INC</t>
  </si>
  <si>
    <t>State how much you would like to borrow for each loan type - adjust the figures in blue in the "Your Request" column</t>
  </si>
  <si>
    <t>postcode/zipcode</t>
  </si>
  <si>
    <t>email address</t>
  </si>
  <si>
    <t>RETAIL (Main Street) RATE - NOT INTERBANK RATE</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</si>
  <si>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</si>
  <si>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</si>
  <si>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</si>
  <si>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</si>
  <si>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</si>
  <si>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</si>
  <si>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</si>
  <si>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</si>
  <si>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</si>
  <si>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</si>
  <si>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</si>
  <si>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</si>
  <si>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</si>
  <si>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</si>
  <si>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</si>
  <si>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</si>
  <si>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</si>
  <si>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</si>
  <si>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</si>
  <si>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</si>
  <si>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</si>
  <si>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</si>
  <si>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</si>
  <si>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</si>
  <si>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</si>
  <si>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</si>
  <si>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</si>
  <si>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</si>
  <si>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</si>
  <si>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</si>
  <si>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</si>
  <si>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</si>
  <si>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</si>
  <si>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</si>
  <si>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</si>
  <si>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</si>
  <si>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</si>
  <si>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</si>
  <si>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</si>
  <si>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</si>
  <si>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</si>
  <si>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</si>
  <si>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</si>
  <si>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</si>
  <si>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</si>
  <si>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</si>
  <si>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</si>
  <si>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</si>
  <si>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</si>
  <si>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</si>
  <si>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</si>
  <si>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</si>
  <si>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Have you entered on the Cost of Attendance how much you wish to borrow (Section 6)</t>
  </si>
  <si>
    <t>Have you entered your name and full address on the  Cost of Attendance</t>
  </si>
  <si>
    <t>Have you entered your SSN on the  Cost of Attendance</t>
  </si>
  <si>
    <t>Have you correctly entered your email address on the  Cost of Attendance</t>
  </si>
  <si>
    <t>Have you entered the EFC from your SAR on the  Cost of Attendance</t>
  </si>
  <si>
    <t>Have you entered your tuition fees on the  Cost of Attendance</t>
  </si>
  <si>
    <t>SCHOOL INFORMATION</t>
  </si>
  <si>
    <t>MONEY INFORMATION</t>
  </si>
  <si>
    <r>
      <t xml:space="preserve">What is the date of your last Bachelors' graduation ceremony </t>
    </r>
    <r>
      <rPr>
        <b/>
        <u val="single"/>
        <sz val="10"/>
        <color indexed="10"/>
        <rFont val="Times New Roman"/>
        <family val="1"/>
      </rPr>
      <t>in the summer</t>
    </r>
    <r>
      <rPr>
        <sz val="10"/>
        <color indexed="10"/>
        <rFont val="Times New Roman"/>
        <family val="1"/>
      </rPr>
      <t xml:space="preserve"> </t>
    </r>
  </si>
  <si>
    <t>AND/OR</t>
  </si>
  <si>
    <t>official end of summer term - ONLY if earlier</t>
  </si>
  <si>
    <t>Worst combination goes to the CoA</t>
  </si>
  <si>
    <t>Worst Fee Rate</t>
  </si>
  <si>
    <t>What are the initials of your staff allowed to sign visa letters USE BLOCK CAPS</t>
  </si>
  <si>
    <t>AB</t>
  </si>
  <si>
    <t>CD</t>
  </si>
  <si>
    <t>GH</t>
  </si>
  <si>
    <t>JK</t>
  </si>
  <si>
    <t>LM</t>
  </si>
  <si>
    <t>NO</t>
  </si>
  <si>
    <t>PQ</t>
  </si>
  <si>
    <t>When - long after the first disbursement - will you review the exchange rate</t>
  </si>
  <si>
    <t>What is your normal family shopping for a week and adjust for one adult</t>
  </si>
  <si>
    <t>EF</t>
  </si>
  <si>
    <t>Postgrad weeks</t>
  </si>
  <si>
    <t>Year 1</t>
  </si>
  <si>
    <t>Year 2</t>
  </si>
  <si>
    <t>Year 3</t>
  </si>
  <si>
    <t>Year 4</t>
  </si>
  <si>
    <t>Dependent Unsubsidised</t>
  </si>
  <si>
    <t>Independent Unsubsidised</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</si>
  <si>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</si>
  <si>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</si>
  <si>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</si>
  <si>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</si>
  <si>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</si>
  <si>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</si>
  <si>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COMPLETE THE YELLOW BOXES ONLY</t>
  </si>
  <si>
    <t>Private Loan</t>
  </si>
  <si>
    <t>Government Loan</t>
  </si>
  <si>
    <t>What is your best estimate for electricity/gas for a week (use our own home direct debits?)</t>
  </si>
  <si>
    <t>Do NOT put in a date where you don't have a disbursement</t>
  </si>
  <si>
    <t>FOR SCHOOL USE ONLY</t>
  </si>
  <si>
    <t>PG T1</t>
  </si>
  <si>
    <t>PG T2</t>
  </si>
  <si>
    <t>PG T3</t>
  </si>
  <si>
    <t>PG T4</t>
  </si>
  <si>
    <t>What is your estimate for enough pocket money including beer/disco/movie/pizza per week</t>
  </si>
  <si>
    <t>School to Complete ONLY the yellow boxes</t>
  </si>
  <si>
    <t>Do not write the name of any bank</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</si>
  <si>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</si>
  <si>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</si>
  <si>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</si>
  <si>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</si>
  <si>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</si>
  <si>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</si>
  <si>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</si>
  <si>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</si>
  <si>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</si>
  <si>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</si>
  <si>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</si>
  <si>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</si>
  <si>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</si>
  <si>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</si>
  <si>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</si>
  <si>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</si>
  <si>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</si>
  <si>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Full name of your course</t>
  </si>
  <si>
    <t>How much has already been awarded by this school as a Scholarship or Financial Aid</t>
  </si>
  <si>
    <t>MSc Gastronomy and Taxidermy</t>
  </si>
  <si>
    <t>Independent Undergraduates are not eligible for a PLUS Loan</t>
  </si>
  <si>
    <t>You could have borrowed these Govt. Loans</t>
  </si>
  <si>
    <t>Avg highest Tuition Fee charged in London for MSc</t>
  </si>
  <si>
    <t>Calculating fields for late starters - do not adjust these fields</t>
  </si>
  <si>
    <t>These are 15/16 - If you know levels have changed, go to the USDE website and find the loan levels for each type of student</t>
  </si>
  <si>
    <t>weeks</t>
  </si>
  <si>
    <t>PG</t>
  </si>
  <si>
    <t>UG</t>
  </si>
  <si>
    <t>Undergraduate treated as Graduate PLUS Loan</t>
  </si>
  <si>
    <t>sub entitled, conditions are per cell</t>
  </si>
  <si>
    <t>inc BA, UG/PG, porev degree,yr</t>
  </si>
  <si>
    <t>but not dependency</t>
  </si>
  <si>
    <t>tot below is max</t>
  </si>
  <si>
    <t>MAX THIS STU</t>
  </si>
  <si>
    <t>midweek return flight for visa interview Los Angeles to New York</t>
  </si>
  <si>
    <t>2 midweek return flights with BA from Los Angeles to London</t>
  </si>
  <si>
    <t>201700000</t>
  </si>
  <si>
    <t>Max Allowed Adjusted for Fees</t>
  </si>
  <si>
    <t>Your Request  -  you may only leave or reduce these values</t>
  </si>
  <si>
    <t>The exchange rate is deliberately high to allow for unforseen circumstances</t>
  </si>
  <si>
    <t>Worst case costs at selected or calculated exchange rate</t>
  </si>
  <si>
    <t>Calcs above/beside</t>
  </si>
  <si>
    <t>Is this course for a Bachelor degree such as BSc or BA? Only answer Y or N</t>
  </si>
  <si>
    <t>What will be your year of study - select from the dropbox only - WARNING: this must match your FAFSA &amp; SAR</t>
  </si>
  <si>
    <t>Does your course involve any time at another university or school, or campus? Only answer Y or N</t>
  </si>
  <si>
    <t>surname - family name</t>
  </si>
  <si>
    <t>forename - first name(s)</t>
  </si>
  <si>
    <t>Does your course - whole course, in any year - have any time in USA other than vacations? Only answer Y or N</t>
  </si>
  <si>
    <t>DON'T TOUCH THE BLUE BOXES - They are calculations which feed other parts of this workbook</t>
  </si>
  <si>
    <t>Powerful laptop and printer [15.6" Lenovo Ryzen 7 2TB - PC World April 2019]</t>
  </si>
  <si>
    <t>Manchester</t>
  </si>
  <si>
    <t>These are 01 Oct 2019 - https://ifap.ed.gov/eannouncements/053019FY20SequesterRequiredChangesTitleIVPrograms.html</t>
  </si>
  <si>
    <t>Rate from 1st Oct 2019</t>
  </si>
  <si>
    <t>Are you seeking only Federal (any of subsidised, unsubsidised, Plus) Loans</t>
  </si>
  <si>
    <t>Are you seeking only Private Loans (Sallie Mae)</t>
  </si>
  <si>
    <t>Are you seeking a mix of Federal and Private loans (Sallie Mae)</t>
  </si>
  <si>
    <t>Your Loan Entitlement</t>
  </si>
  <si>
    <t>Your Cost of Attendance (Values rounded)</t>
  </si>
  <si>
    <t>Information which affects your Cost of Attendance</t>
  </si>
  <si>
    <t xml:space="preserve"> Details about you</t>
  </si>
  <si>
    <t>v.200505</t>
  </si>
  <si>
    <t xml:space="preserve"> U.S. Government Fees deducted from your disbursement</t>
  </si>
  <si>
    <t>Stu Type</t>
  </si>
  <si>
    <t>Add here any extra essential requirements which have not been included</t>
  </si>
  <si>
    <t>Child care for dependent children with the parent-student while parent  in class</t>
  </si>
  <si>
    <t>weekly</t>
  </si>
  <si>
    <t>deducts</t>
  </si>
  <si>
    <t>direct convert</t>
  </si>
  <si>
    <t>room</t>
  </si>
  <si>
    <t>board</t>
  </si>
  <si>
    <t>annual flights</t>
  </si>
  <si>
    <t>1st yr costs</t>
  </si>
  <si>
    <t>essential course equipment</t>
  </si>
  <si>
    <t>essential health</t>
  </si>
  <si>
    <t>essential childcare</t>
  </si>
  <si>
    <t>other essentials</t>
  </si>
  <si>
    <t>Essential flights + health (for 1st yr also visa and laptop)</t>
  </si>
  <si>
    <t>Ist Year</t>
  </si>
  <si>
    <t>School Notes</t>
  </si>
  <si>
    <t>Course essentials like required clothing (drama/catering courses) or equipment (some scientific/media courses)</t>
  </si>
  <si>
    <t>Health related costs such as insuline/physiotherapy - write it here and be specific</t>
  </si>
  <si>
    <t>Other health related costs - such as transposrt if mobility impaired, or scribing - write it here and be specific</t>
  </si>
  <si>
    <t>Request</t>
  </si>
  <si>
    <t>Requests</t>
  </si>
  <si>
    <t>Allow</t>
  </si>
  <si>
    <t>Use drop boxes below</t>
  </si>
  <si>
    <t>Approved Additional Items</t>
  </si>
  <si>
    <t>Final CoA including approved Additional Items</t>
  </si>
  <si>
    <t>Aggregate Loan Limits</t>
  </si>
  <si>
    <t>Limit</t>
  </si>
  <si>
    <t>Sub Limit</t>
  </si>
  <si>
    <t>UG Dependent - all assumed</t>
  </si>
  <si>
    <t>UG Independent</t>
  </si>
  <si>
    <t>Put SHORT notes in this box to justify your extra requests</t>
  </si>
  <si>
    <t>Pounds Sterling</t>
  </si>
  <si>
    <t>CONVERTING COSTS TO DOLLARS</t>
  </si>
  <si>
    <t>note no plus for Ind UGs</t>
  </si>
  <si>
    <t>plus if extras allowed</t>
  </si>
  <si>
    <t>Course essentials like required clothing</t>
  </si>
  <si>
    <t>Health related costs such as insuline/physiotherapy</t>
  </si>
  <si>
    <t>Other health related  -  transposrt if mobility impaired, or scribing</t>
  </si>
  <si>
    <t>Child care for dependent children</t>
  </si>
  <si>
    <t>Total extras approved</t>
  </si>
  <si>
    <t>Calculating Aggregate Effect</t>
  </si>
  <si>
    <t>Max allowed</t>
  </si>
  <si>
    <t>agg used</t>
  </si>
  <si>
    <t>available</t>
  </si>
  <si>
    <t>annual</t>
  </si>
  <si>
    <t>PG Sub</t>
  </si>
  <si>
    <t>PG Tot</t>
  </si>
  <si>
    <t>allowed now</t>
  </si>
  <si>
    <t>UG course as PG</t>
  </si>
  <si>
    <t>There is no Subsidised Loan for postgraduates</t>
  </si>
  <si>
    <t>UG Sub</t>
  </si>
  <si>
    <t>UG Dep Unsub</t>
  </si>
  <si>
    <t>UG Ind Unsub</t>
  </si>
  <si>
    <t>UG Dep Tot</t>
  </si>
  <si>
    <t>UG Ind Tot</t>
  </si>
  <si>
    <t>7   School Responses</t>
  </si>
  <si>
    <t>full sallie mae</t>
  </si>
  <si>
    <t>mixed sallie mae</t>
  </si>
  <si>
    <t>Essential flights + health for all years (plus visa and laptop if 1st year)</t>
  </si>
  <si>
    <r>
      <t xml:space="preserve">Total Extra Requests </t>
    </r>
    <r>
      <rPr>
        <b/>
        <sz val="10"/>
        <color indexed="12"/>
        <rFont val="Arial"/>
        <family val="2"/>
      </rPr>
      <t>and those allowed converted into dollars</t>
    </r>
  </si>
  <si>
    <t>private</t>
  </si>
  <si>
    <t>sub</t>
  </si>
  <si>
    <t>plus</t>
  </si>
  <si>
    <t>total</t>
  </si>
  <si>
    <t>zero if only private requested</t>
  </si>
  <si>
    <t>Unsub</t>
  </si>
  <si>
    <t>2020/21</t>
  </si>
  <si>
    <t>Please initial here</t>
  </si>
  <si>
    <t>through the CARES Act, regarding the location of study and online learning is for the duration of the</t>
  </si>
  <si>
    <t xml:space="preserve"> is not usually eligible for Federal Student Aid.  The current relaxation of the regulation</t>
  </si>
  <si>
    <t>Please intial here</t>
  </si>
  <si>
    <t>I confirm that I understand that study away from Regent's University London, including disseration period</t>
  </si>
  <si>
    <t>Declaration:</t>
  </si>
  <si>
    <t>Have you attached your Direct Loan MPN</t>
  </si>
  <si>
    <t xml:space="preserve">I confirm that I have read all sections of the US Financial Aid information on the website, including </t>
  </si>
  <si>
    <t>Satisfactory Academic Progress, R2T4 Return of Title IV funds, Study Periods Abroad, Disbursement information,</t>
  </si>
  <si>
    <t>consumer information, overview, and loan information.</t>
  </si>
  <si>
    <t>emergency situation in the UK and one further payment period only.</t>
  </si>
  <si>
    <t>Visa £348 and NHS Charge £300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</si>
</sst>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809]d\ mmmm\ yyyy;@"/>
    <numFmt numFmtId="172" formatCode="[$$-409]#,##0.00;[Red][$$-409]#,##0.00"/>
    <numFmt numFmtId="173" formatCode="0.0000"/>
    <numFmt numFmtId="174" formatCode="0.0%"/>
    <numFmt numFmtId="175" formatCode="0.0000%"/>
    <numFmt numFmtId="176" formatCode="[$-809]dd\ mmmm\ yyyy"/>
  </numFmts>
  <fonts count="107">
    <font>
      <sz val="10"/>
      <name val="Arial"/>
      <family val="0"/>
    </font>
    <font>
      <sz val="11"/>
      <color indexed="8"/>
      <name val="Calibri"/>
      <family val="2"/>
    </font>
    <font>
      <b/>
      <sz val="10"/>
      <name val="Arial"/>
      <family val="2"/>
    </font>
    <font>
      <b/>
      <sz val="16"/>
      <name val="Arial"/>
      <family val="2"/>
    </font>
    <font>
      <b/>
      <sz val="10"/>
      <color indexed="10"/>
      <name val="Arial"/>
      <family val="2"/>
    </font>
    <font>
      <sz val="8"/>
      <name val="Arial"/>
      <family val="0"/>
    </font>
    <font>
      <sz val="10"/>
      <color indexed="12"/>
      <name val="Arial"/>
      <family val="2"/>
    </font>
    <font>
      <sz val="12"/>
      <name val="Arial"/>
      <family val="0"/>
    </font>
    <font>
      <b/>
      <sz val="12"/>
      <color indexed="9"/>
      <name val="Arial"/>
      <family val="2"/>
    </font>
    <font>
      <b/>
      <sz val="12"/>
      <name val="Arial"/>
      <family val="2"/>
    </font>
    <font>
      <b/>
      <sz val="12"/>
      <color indexed="12"/>
      <name val="Arial"/>
      <family val="2"/>
    </font>
    <font>
      <b/>
      <sz val="14"/>
      <name val="Arial"/>
      <family val="2"/>
    </font>
    <font>
      <b/>
      <sz val="14"/>
      <color indexed="10"/>
      <name val="Arial"/>
      <family val="2"/>
    </font>
    <font>
      <u val="single"/>
      <sz val="7.5"/>
      <color indexed="12"/>
      <name val="Arial"/>
      <family val="0"/>
    </font>
    <font>
      <b/>
      <sz val="12"/>
      <color indexed="10"/>
      <name val="Arial"/>
      <family val="0"/>
    </font>
    <font>
      <sz val="12"/>
      <color indexed="12"/>
      <name val="Arial"/>
      <family val="2"/>
    </font>
    <font>
      <b/>
      <sz val="10"/>
      <color indexed="15"/>
      <name val="Arial"/>
      <family val="2"/>
    </font>
    <font>
      <sz val="10"/>
      <name val="Times New Roman"/>
      <family val="1"/>
    </font>
    <font>
      <b/>
      <sz val="14"/>
      <color indexed="12"/>
      <name val="Arial"/>
      <family val="2"/>
    </font>
    <font>
      <b/>
      <sz val="10"/>
      <color indexed="10"/>
      <name val="Times New Roman"/>
      <family val="1"/>
    </font>
    <font>
      <b/>
      <sz val="12"/>
      <color indexed="10"/>
      <name val="Times New Roman"/>
      <family val="1"/>
    </font>
    <font>
      <b/>
      <sz val="12"/>
      <color indexed="12"/>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val="single"/>
      <sz val="12"/>
      <color indexed="10"/>
      <name val="Times New Roman"/>
      <family val="1"/>
    </font>
    <font>
      <b/>
      <u val="single"/>
      <sz val="10"/>
      <color indexed="10"/>
      <name val="Times New Roman"/>
      <family val="1"/>
    </font>
    <font>
      <b/>
      <sz val="10"/>
      <color indexed="48"/>
      <name val="Arial"/>
      <family val="2"/>
    </font>
    <font>
      <b/>
      <sz val="12"/>
      <color indexed="13"/>
      <name val="Arial"/>
      <family val="2"/>
    </font>
    <font>
      <u val="single"/>
      <sz val="12"/>
      <color indexed="12"/>
      <name val="Arial"/>
      <family val="2"/>
    </font>
    <font>
      <b/>
      <u val="single"/>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7"/>
      <name val="Arial"/>
      <family val="2"/>
    </font>
    <font>
      <b/>
      <sz val="10"/>
      <color indexed="17"/>
      <name val="Arial"/>
      <family val="2"/>
    </font>
    <font>
      <sz val="10"/>
      <color indexed="17"/>
      <name val="Arial"/>
      <family val="2"/>
    </font>
    <font>
      <b/>
      <sz val="12"/>
      <color indexed="17"/>
      <name val="Arial"/>
      <family val="2"/>
    </font>
    <font>
      <sz val="12"/>
      <color indexed="17"/>
      <name val="Arial"/>
      <family val="2"/>
    </font>
    <font>
      <b/>
      <sz val="14"/>
      <color indexed="17"/>
      <name val="Arial"/>
      <family val="2"/>
    </font>
    <font>
      <b/>
      <sz val="14"/>
      <color indexed="9"/>
      <name val="Arial"/>
      <family val="2"/>
    </font>
    <font>
      <b/>
      <sz val="16"/>
      <color indexed="10"/>
      <name val="Times New Roman"/>
      <family val="1"/>
    </font>
    <font>
      <b/>
      <u val="single"/>
      <sz val="12"/>
      <color indexed="10"/>
      <name val="Arial"/>
      <family val="2"/>
    </font>
    <font>
      <b/>
      <sz val="14"/>
      <color indexed="13"/>
      <name val="Arial"/>
      <family val="2"/>
    </font>
    <font>
      <sz val="12"/>
      <color indexed="10"/>
      <name val="Arial"/>
      <family val="0"/>
    </font>
    <font>
      <sz val="10"/>
      <color indexed="22"/>
      <name val="Arial"/>
      <family val="0"/>
    </font>
    <font>
      <b/>
      <u val="single"/>
      <sz val="7.5"/>
      <color indexed="12"/>
      <name val="Arial"/>
      <family val="2"/>
    </font>
    <font>
      <sz val="10"/>
      <color indexed="10"/>
      <name val="Arial"/>
      <family val="0"/>
    </font>
    <font>
      <sz val="10"/>
      <color indexed="23"/>
      <name val="Arial"/>
      <family val="0"/>
    </font>
    <font>
      <b/>
      <sz val="10"/>
      <color indexed="9"/>
      <name val="Times New Roman"/>
      <family val="1"/>
    </font>
    <font>
      <sz val="12"/>
      <color indexed="22"/>
      <name val="Arial"/>
      <family val="0"/>
    </font>
    <font>
      <b/>
      <sz val="10"/>
      <color indexed="23"/>
      <name val="Arial"/>
      <family val="2"/>
    </font>
    <font>
      <b/>
      <sz val="16"/>
      <color indexed="12"/>
      <name val="Arial"/>
      <family val="2"/>
    </font>
    <font>
      <b/>
      <sz val="16"/>
      <color indexed="10"/>
      <name val="Arial"/>
      <family val="2"/>
    </font>
    <font>
      <b/>
      <i/>
      <sz val="16"/>
      <color indexed="10"/>
      <name val="Arial"/>
      <family val="2"/>
    </font>
    <font>
      <b/>
      <i/>
      <sz val="8"/>
      <color indexed="10"/>
      <name val="Arial"/>
      <family val="2"/>
    </font>
    <font>
      <b/>
      <sz val="8"/>
      <color indexed="10"/>
      <name val="Arial"/>
      <family val="2"/>
    </font>
    <font>
      <b/>
      <u val="single"/>
      <sz val="10"/>
      <color indexed="10"/>
      <name val="Arial"/>
      <family val="2"/>
    </font>
    <font>
      <b/>
      <sz val="12"/>
      <color indexed="51"/>
      <name val="Arial"/>
      <family val="2"/>
    </font>
    <font>
      <b/>
      <sz val="10"/>
      <color indexed="62"/>
      <name val="Arial"/>
      <family val="2"/>
    </font>
    <font>
      <sz val="10"/>
      <color indexed="13"/>
      <name val="Arial"/>
      <family val="0"/>
    </font>
    <font>
      <b/>
      <sz val="16"/>
      <color indexed="13"/>
      <name val="Arial"/>
      <family val="0"/>
    </font>
    <font>
      <sz val="12"/>
      <color indexed="13"/>
      <name val="Arial"/>
      <family val="0"/>
    </font>
    <font>
      <sz val="12"/>
      <color indexed="62"/>
      <name val="Arial"/>
      <family val="2"/>
    </font>
    <font>
      <b/>
      <sz val="10"/>
      <color indexed="12"/>
      <name val="Arial"/>
      <family val="2"/>
    </font>
    <font>
      <sz val="10"/>
      <color indexed="20"/>
      <name val="Arial"/>
      <family val="0"/>
    </font>
    <font>
      <sz val="10"/>
      <color indexed="48"/>
      <name val="Times New Roman"/>
      <family val="1"/>
    </font>
    <font>
      <sz val="12"/>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10"/>
        <bgColor indexed="64"/>
      </patternFill>
    </fill>
    <fill>
      <patternFill patternType="solid">
        <fgColor indexed="18"/>
        <bgColor indexed="64"/>
      </patternFill>
    </fill>
    <fill>
      <patternFill patternType="solid">
        <fgColor theme="1"/>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right/>
      <top style="thin"/>
      <bottom style="double"/>
    </border>
    <border>
      <left/>
      <right/>
      <top/>
      <bottom style="thin"/>
    </border>
    <border>
      <left style="medium"/>
      <right/>
      <top style="medium"/>
      <bottom/>
    </border>
    <border>
      <left style="medium"/>
      <right/>
      <top/>
      <bottom style="medium"/>
    </border>
    <border>
      <left style="thin"/>
      <right/>
      <top/>
      <bottom/>
    </border>
    <border>
      <left style="thin"/>
      <right/>
      <top style="medium"/>
      <bottom/>
    </border>
    <border>
      <left style="medium"/>
      <right style="medium"/>
      <top style="medium"/>
      <bottom style="medium"/>
    </border>
    <border>
      <left>
        <color indexed="63"/>
      </left>
      <right>
        <color indexed="63"/>
      </right>
      <top>
        <color indexed="63"/>
      </top>
      <bottom style="double"/>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3"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384">
    <xf numFmtId="0" fontId="0" fillId="0" borderId="0" xfId="0" applyAlignment="1">
      <alignment/>
    </xf>
    <xf numFmtId="1" fontId="3" fillId="0" borderId="0" xfId="42" applyNumberFormat="1" applyFont="1" applyAlignment="1" applyProtection="1">
      <alignment horizontal="center"/>
      <protection/>
    </xf>
    <xf numFmtId="43" fontId="3" fillId="0" borderId="0" xfId="42" applyFont="1" applyAlignment="1" applyProtection="1">
      <alignment horizontal="right"/>
      <protection/>
    </xf>
    <xf numFmtId="43" fontId="3" fillId="0" borderId="0" xfId="42" applyFont="1" applyAlignment="1" applyProtection="1">
      <alignment horizontal="center"/>
      <protection/>
    </xf>
    <xf numFmtId="0" fontId="3" fillId="0" borderId="0" xfId="0" applyFont="1" applyAlignment="1" applyProtection="1">
      <alignment horizontal="center"/>
      <protection/>
    </xf>
    <xf numFmtId="1" fontId="2" fillId="0" borderId="0" xfId="42" applyNumberFormat="1" applyFont="1" applyAlignment="1" applyProtection="1">
      <alignment horizontal="center"/>
      <protection/>
    </xf>
    <xf numFmtId="43" fontId="4" fillId="0" borderId="0" xfId="42" applyFont="1" applyAlignment="1" applyProtection="1">
      <alignment horizontal="right"/>
      <protection/>
    </xf>
    <xf numFmtId="43" fontId="2" fillId="0" borderId="0" xfId="42" applyFont="1" applyAlignment="1" applyProtection="1">
      <alignment horizontal="center"/>
      <protection/>
    </xf>
    <xf numFmtId="0" fontId="2" fillId="0" borderId="0" xfId="0" applyFont="1" applyAlignment="1" applyProtection="1">
      <alignment horizontal="center"/>
      <protection/>
    </xf>
    <xf numFmtId="43" fontId="0" fillId="0" borderId="0" xfId="42" applyFont="1" applyAlignment="1" applyProtection="1">
      <alignment horizontal="right"/>
      <protection/>
    </xf>
    <xf numFmtId="43" fontId="2" fillId="0" borderId="0" xfId="42" applyFont="1" applyAlignment="1" applyProtection="1">
      <alignment horizontal="right"/>
      <protection/>
    </xf>
    <xf numFmtId="168" fontId="0" fillId="0" borderId="0" xfId="42" applyNumberFormat="1" applyFont="1" applyAlignment="1" applyProtection="1">
      <alignment horizontal="right"/>
      <protection/>
    </xf>
    <xf numFmtId="1" fontId="0" fillId="0" borderId="0" xfId="42" applyNumberFormat="1" applyFont="1" applyAlignment="1" applyProtection="1">
      <alignment horizontal="center"/>
      <protection/>
    </xf>
    <xf numFmtId="43" fontId="0" fillId="0" borderId="0" xfId="42" applyFont="1" applyAlignment="1" applyProtection="1">
      <alignment/>
      <protection/>
    </xf>
    <xf numFmtId="43" fontId="0" fillId="0" borderId="0" xfId="42" applyFont="1" applyAlignment="1" applyProtection="1">
      <alignment horizontal="center"/>
      <protection/>
    </xf>
    <xf numFmtId="0" fontId="0" fillId="0" borderId="0" xfId="0" applyAlignment="1" applyProtection="1">
      <alignment horizontal="center"/>
      <protection/>
    </xf>
    <xf numFmtId="1" fontId="0" fillId="33" borderId="10" xfId="42" applyNumberFormat="1" applyFont="1" applyFill="1" applyBorder="1" applyAlignment="1" applyProtection="1">
      <alignment horizontal="center"/>
      <protection/>
    </xf>
    <xf numFmtId="43" fontId="0" fillId="33" borderId="0" xfId="42" applyFont="1" applyFill="1" applyBorder="1" applyAlignment="1" applyProtection="1">
      <alignment horizontal="center"/>
      <protection/>
    </xf>
    <xf numFmtId="43" fontId="7" fillId="33" borderId="0" xfId="42" applyFont="1" applyFill="1" applyBorder="1" applyAlignment="1" applyProtection="1">
      <alignment horizontal="center"/>
      <protection/>
    </xf>
    <xf numFmtId="43" fontId="0" fillId="0" borderId="0" xfId="42" applyFont="1" applyBorder="1" applyAlignment="1" applyProtection="1">
      <alignment/>
      <protection/>
    </xf>
    <xf numFmtId="0" fontId="0" fillId="0" borderId="0" xfId="0" applyAlignment="1" applyProtection="1">
      <alignment/>
      <protection/>
    </xf>
    <xf numFmtId="43" fontId="0" fillId="0" borderId="0" xfId="42" applyFont="1" applyBorder="1" applyAlignment="1" applyProtection="1">
      <alignment vertical="top" wrapText="1"/>
      <protection/>
    </xf>
    <xf numFmtId="1" fontId="7" fillId="0" borderId="0" xfId="42" applyNumberFormat="1" applyFont="1" applyAlignment="1" applyProtection="1">
      <alignment horizontal="center"/>
      <protection/>
    </xf>
    <xf numFmtId="0" fontId="12" fillId="0" borderId="0" xfId="0" applyFont="1" applyBorder="1" applyAlignment="1" applyProtection="1">
      <alignment horizontal="center"/>
      <protection/>
    </xf>
    <xf numFmtId="0" fontId="12" fillId="0" borderId="11" xfId="0" applyFont="1" applyBorder="1" applyAlignment="1" applyProtection="1">
      <alignment horizontal="center"/>
      <protection/>
    </xf>
    <xf numFmtId="167" fontId="7" fillId="0" borderId="0" xfId="0" applyNumberFormat="1" applyFont="1" applyAlignment="1" applyProtection="1">
      <alignment horizontal="center"/>
      <protection/>
    </xf>
    <xf numFmtId="167" fontId="9" fillId="0" borderId="0" xfId="0" applyNumberFormat="1" applyFont="1" applyAlignment="1" applyProtection="1">
      <alignment horizontal="center"/>
      <protection/>
    </xf>
    <xf numFmtId="167" fontId="8" fillId="34" borderId="12" xfId="0" applyNumberFormat="1" applyFont="1" applyFill="1" applyBorder="1" applyAlignment="1" applyProtection="1">
      <alignment horizontal="center"/>
      <protection/>
    </xf>
    <xf numFmtId="167" fontId="8" fillId="34" borderId="13" xfId="0" applyNumberFormat="1" applyFont="1" applyFill="1" applyBorder="1" applyAlignment="1" applyProtection="1">
      <alignment horizontal="center"/>
      <protection/>
    </xf>
    <xf numFmtId="167" fontId="14" fillId="0" borderId="0" xfId="0" applyNumberFormat="1" applyFont="1" applyBorder="1" applyAlignment="1" applyProtection="1">
      <alignment horizontal="center"/>
      <protection/>
    </xf>
    <xf numFmtId="167" fontId="14" fillId="0" borderId="14" xfId="0" applyNumberFormat="1" applyFont="1" applyBorder="1" applyAlignment="1" applyProtection="1">
      <alignment horizontal="center"/>
      <protection/>
    </xf>
    <xf numFmtId="167" fontId="14" fillId="0" borderId="11" xfId="0" applyNumberFormat="1" applyFont="1" applyBorder="1" applyAlignment="1" applyProtection="1">
      <alignment horizontal="center"/>
      <protection/>
    </xf>
    <xf numFmtId="167" fontId="14" fillId="0" borderId="15" xfId="0" applyNumberFormat="1" applyFont="1" applyBorder="1" applyAlignment="1" applyProtection="1">
      <alignment horizontal="center"/>
      <protection/>
    </xf>
    <xf numFmtId="1" fontId="7" fillId="0" borderId="0" xfId="0" applyNumberFormat="1" applyFont="1" applyAlignment="1" applyProtection="1">
      <alignment horizontal="center"/>
      <protection/>
    </xf>
    <xf numFmtId="1" fontId="0" fillId="0" borderId="0" xfId="0" applyNumberFormat="1" applyAlignment="1" applyProtection="1">
      <alignment horizontal="center"/>
      <protection/>
    </xf>
    <xf numFmtId="0" fontId="0" fillId="0" borderId="0" xfId="0" applyBorder="1" applyAlignment="1" applyProtection="1">
      <alignment horizontal="center"/>
      <protection locked="0"/>
    </xf>
    <xf numFmtId="1" fontId="0" fillId="33" borderId="0" xfId="42" applyNumberFormat="1" applyFont="1" applyFill="1" applyBorder="1" applyAlignment="1" applyProtection="1">
      <alignment horizontal="center"/>
      <protection/>
    </xf>
    <xf numFmtId="1" fontId="7" fillId="0" borderId="0" xfId="42" applyNumberFormat="1" applyFont="1" applyBorder="1" applyAlignment="1" applyProtection="1">
      <alignment horizontal="center"/>
      <protection/>
    </xf>
    <xf numFmtId="1" fontId="7" fillId="0" borderId="0" xfId="42" applyNumberFormat="1" applyFont="1" applyFill="1" applyBorder="1" applyAlignment="1" applyProtection="1">
      <alignment horizontal="center"/>
      <protection/>
    </xf>
    <xf numFmtId="43" fontId="0" fillId="0" borderId="0" xfId="42" applyFont="1" applyAlignment="1" applyProtection="1">
      <alignment horizontal="left" indent="11"/>
      <protection/>
    </xf>
    <xf numFmtId="170" fontId="0" fillId="0" borderId="0" xfId="0" applyNumberFormat="1" applyAlignment="1" applyProtection="1">
      <alignment horizontal="center"/>
      <protection/>
    </xf>
    <xf numFmtId="167" fontId="0" fillId="0" borderId="0" xfId="42" applyNumberFormat="1" applyFont="1" applyAlignment="1" applyProtection="1">
      <alignment horizontal="center"/>
      <protection/>
    </xf>
    <xf numFmtId="43" fontId="2" fillId="0" borderId="16" xfId="42" applyFont="1" applyBorder="1" applyAlignment="1" applyProtection="1">
      <alignment horizontal="left" indent="11"/>
      <protection/>
    </xf>
    <xf numFmtId="43" fontId="0" fillId="0" borderId="0" xfId="42" applyFont="1" applyBorder="1" applyAlignment="1" applyProtection="1">
      <alignment horizontal="right"/>
      <protection/>
    </xf>
    <xf numFmtId="0" fontId="0" fillId="0" borderId="0" xfId="0" applyAlignment="1" applyProtection="1">
      <alignment/>
      <protection locked="0"/>
    </xf>
    <xf numFmtId="170" fontId="29" fillId="0" borderId="0" xfId="42" applyNumberFormat="1" applyFont="1" applyAlignment="1" applyProtection="1">
      <alignment/>
      <protection/>
    </xf>
    <xf numFmtId="170" fontId="29" fillId="0" borderId="0" xfId="0" applyNumberFormat="1" applyFont="1" applyAlignment="1" applyProtection="1">
      <alignment/>
      <protection/>
    </xf>
    <xf numFmtId="0" fontId="2" fillId="0" borderId="0" xfId="0" applyFont="1" applyAlignment="1" applyProtection="1">
      <alignment/>
      <protection/>
    </xf>
    <xf numFmtId="43" fontId="18" fillId="35" borderId="12" xfId="42" applyFont="1" applyFill="1" applyBorder="1" applyAlignment="1" applyProtection="1">
      <alignment horizontal="center"/>
      <protection/>
    </xf>
    <xf numFmtId="43" fontId="10" fillId="35" borderId="0" xfId="42" applyFont="1" applyFill="1" applyBorder="1" applyAlignment="1" applyProtection="1">
      <alignment horizontal="center"/>
      <protection locked="0"/>
    </xf>
    <xf numFmtId="49" fontId="10" fillId="35" borderId="0" xfId="42" applyNumberFormat="1" applyFont="1" applyFill="1" applyBorder="1" applyAlignment="1" applyProtection="1">
      <alignment horizontal="center"/>
      <protection locked="0"/>
    </xf>
    <xf numFmtId="49" fontId="15" fillId="35" borderId="0" xfId="0" applyNumberFormat="1" applyFont="1" applyFill="1" applyBorder="1" applyAlignment="1" applyProtection="1">
      <alignment horizontal="center"/>
      <protection locked="0"/>
    </xf>
    <xf numFmtId="43" fontId="6" fillId="35" borderId="0" xfId="42" applyFont="1" applyFill="1" applyBorder="1" applyAlignment="1" applyProtection="1">
      <alignment horizontal="center"/>
      <protection locked="0"/>
    </xf>
    <xf numFmtId="168" fontId="6" fillId="35" borderId="0" xfId="42" applyNumberFormat="1" applyFont="1" applyFill="1" applyBorder="1" applyAlignment="1" applyProtection="1">
      <alignment horizontal="center"/>
      <protection locked="0"/>
    </xf>
    <xf numFmtId="3" fontId="6" fillId="35" borderId="0" xfId="42" applyNumberFormat="1" applyFont="1" applyFill="1" applyBorder="1" applyAlignment="1" applyProtection="1">
      <alignment horizontal="center"/>
      <protection locked="0"/>
    </xf>
    <xf numFmtId="164" fontId="6" fillId="35" borderId="0" xfId="42" applyNumberFormat="1" applyFont="1" applyFill="1" applyBorder="1" applyAlignment="1" applyProtection="1">
      <alignment horizontal="center"/>
      <protection locked="0"/>
    </xf>
    <xf numFmtId="49" fontId="15" fillId="35" borderId="0" xfId="42" applyNumberFormat="1" applyFont="1" applyFill="1" applyBorder="1" applyAlignment="1" applyProtection="1">
      <alignment horizontal="center"/>
      <protection locked="0"/>
    </xf>
    <xf numFmtId="49" fontId="31" fillId="35" borderId="0" xfId="53" applyNumberFormat="1" applyFont="1" applyFill="1" applyBorder="1" applyAlignment="1" applyProtection="1">
      <alignment horizontal="center"/>
      <protection locked="0"/>
    </xf>
    <xf numFmtId="170" fontId="15" fillId="35" borderId="0" xfId="0" applyNumberFormat="1" applyFont="1" applyFill="1" applyBorder="1" applyAlignment="1" applyProtection="1">
      <alignment horizontal="center"/>
      <protection locked="0"/>
    </xf>
    <xf numFmtId="0" fontId="19" fillId="0" borderId="0" xfId="0" applyFont="1" applyAlignment="1" applyProtection="1">
      <alignment/>
      <protection/>
    </xf>
    <xf numFmtId="0" fontId="17" fillId="0" borderId="0" xfId="0" applyFont="1" applyAlignment="1" applyProtection="1">
      <alignment/>
      <protection/>
    </xf>
    <xf numFmtId="0" fontId="21" fillId="35" borderId="0" xfId="0" applyFont="1" applyFill="1" applyAlignment="1" applyProtection="1">
      <alignment/>
      <protection/>
    </xf>
    <xf numFmtId="0" fontId="20" fillId="0" borderId="0" xfId="0" applyFont="1" applyAlignment="1" applyProtection="1">
      <alignment/>
      <protection/>
    </xf>
    <xf numFmtId="0" fontId="26" fillId="0" borderId="0" xfId="0" applyFont="1" applyAlignment="1" applyProtection="1">
      <alignment/>
      <protection/>
    </xf>
    <xf numFmtId="0" fontId="25" fillId="0" borderId="0" xfId="0" applyFont="1" applyAlignment="1" applyProtection="1">
      <alignment/>
      <protection/>
    </xf>
    <xf numFmtId="0" fontId="22" fillId="0" borderId="0" xfId="0" applyFont="1" applyAlignment="1" applyProtection="1">
      <alignment horizontal="center"/>
      <protection/>
    </xf>
    <xf numFmtId="0" fontId="23" fillId="0" borderId="0" xfId="0" applyFont="1" applyAlignment="1" applyProtection="1">
      <alignment/>
      <protection/>
    </xf>
    <xf numFmtId="0" fontId="17" fillId="0" borderId="0" xfId="0" applyFont="1" applyAlignment="1" applyProtection="1">
      <alignment horizontal="center"/>
      <protection/>
    </xf>
    <xf numFmtId="0" fontId="17" fillId="0" borderId="0" xfId="0" applyFont="1" applyAlignment="1" applyProtection="1">
      <alignment horizontal="right"/>
      <protection/>
    </xf>
    <xf numFmtId="165" fontId="17" fillId="0" borderId="0" xfId="0" applyNumberFormat="1" applyFont="1" applyAlignment="1" applyProtection="1">
      <alignment/>
      <protection/>
    </xf>
    <xf numFmtId="0" fontId="27" fillId="0" borderId="0" xfId="0" applyFont="1" applyAlignment="1" applyProtection="1">
      <alignment/>
      <protection/>
    </xf>
    <xf numFmtId="0" fontId="27" fillId="0" borderId="0" xfId="0" applyFont="1" applyFill="1" applyAlignment="1" applyProtection="1">
      <alignment/>
      <protection/>
    </xf>
    <xf numFmtId="14" fontId="24" fillId="36" borderId="0" xfId="0" applyNumberFormat="1" applyFont="1" applyFill="1" applyAlignment="1" applyProtection="1">
      <alignment/>
      <protection/>
    </xf>
    <xf numFmtId="164" fontId="17" fillId="0" borderId="0" xfId="0" applyNumberFormat="1" applyFont="1" applyAlignment="1" applyProtection="1">
      <alignment/>
      <protection/>
    </xf>
    <xf numFmtId="164" fontId="24" fillId="36" borderId="0" xfId="0" applyNumberFormat="1" applyFont="1" applyFill="1" applyAlignment="1" applyProtection="1">
      <alignment/>
      <protection/>
    </xf>
    <xf numFmtId="166" fontId="23" fillId="0" borderId="0" xfId="0" applyNumberFormat="1" applyFont="1" applyAlignment="1" applyProtection="1">
      <alignment/>
      <protection/>
    </xf>
    <xf numFmtId="164" fontId="19" fillId="0" borderId="0" xfId="0" applyNumberFormat="1" applyFont="1" applyAlignment="1" applyProtection="1">
      <alignment/>
      <protection/>
    </xf>
    <xf numFmtId="0" fontId="24" fillId="36" borderId="0" xfId="0" applyFont="1" applyFill="1" applyAlignment="1" applyProtection="1">
      <alignment/>
      <protection/>
    </xf>
    <xf numFmtId="164" fontId="19" fillId="36" borderId="0" xfId="0" applyNumberFormat="1" applyFont="1" applyFill="1" applyAlignment="1" applyProtection="1">
      <alignment/>
      <protection/>
    </xf>
    <xf numFmtId="1" fontId="24" fillId="36" borderId="0" xfId="0" applyNumberFormat="1" applyFont="1" applyFill="1" applyAlignment="1" applyProtection="1">
      <alignment/>
      <protection/>
    </xf>
    <xf numFmtId="164" fontId="26" fillId="0" borderId="0" xfId="0" applyNumberFormat="1" applyFont="1" applyAlignment="1" applyProtection="1">
      <alignment/>
      <protection/>
    </xf>
    <xf numFmtId="43" fontId="0" fillId="0" borderId="0" xfId="42" applyFont="1" applyBorder="1" applyAlignment="1" applyProtection="1">
      <alignment horizontal="right"/>
      <protection/>
    </xf>
    <xf numFmtId="0" fontId="24" fillId="0" borderId="0" xfId="0" applyFont="1" applyFill="1" applyAlignment="1" applyProtection="1">
      <alignment/>
      <protection/>
    </xf>
    <xf numFmtId="0" fontId="17" fillId="0" borderId="0" xfId="0" applyFont="1" applyAlignment="1" applyProtection="1">
      <alignment horizontal="center" vertical="center" wrapText="1"/>
      <protection/>
    </xf>
    <xf numFmtId="165" fontId="24" fillId="36" borderId="0" xfId="0" applyNumberFormat="1" applyFont="1" applyFill="1" applyAlignment="1" applyProtection="1">
      <alignment/>
      <protection/>
    </xf>
    <xf numFmtId="165" fontId="24" fillId="36" borderId="17" xfId="0" applyNumberFormat="1" applyFont="1" applyFill="1" applyBorder="1" applyAlignment="1" applyProtection="1">
      <alignment/>
      <protection/>
    </xf>
    <xf numFmtId="165" fontId="24" fillId="36" borderId="16" xfId="0" applyNumberFormat="1" applyFont="1" applyFill="1" applyBorder="1" applyAlignment="1" applyProtection="1">
      <alignment/>
      <protection/>
    </xf>
    <xf numFmtId="0" fontId="2" fillId="0" borderId="18"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16" fillId="0" borderId="0" xfId="0" applyFont="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0" xfId="0" applyFont="1" applyBorder="1" applyAlignment="1" applyProtection="1">
      <alignment horizontal="left"/>
      <protection/>
    </xf>
    <xf numFmtId="0" fontId="14" fillId="0" borderId="14" xfId="0" applyFont="1" applyBorder="1" applyAlignment="1" applyProtection="1">
      <alignment horizontal="center"/>
      <protection/>
    </xf>
    <xf numFmtId="0" fontId="0" fillId="0" borderId="10" xfId="0" applyBorder="1" applyAlignment="1" applyProtection="1">
      <alignment/>
      <protection/>
    </xf>
    <xf numFmtId="0" fontId="14" fillId="0" borderId="14" xfId="0" applyFont="1" applyBorder="1" applyAlignment="1" applyProtection="1">
      <alignment/>
      <protection/>
    </xf>
    <xf numFmtId="0" fontId="0" fillId="33" borderId="0" xfId="0" applyFill="1" applyBorder="1" applyAlignment="1" applyProtection="1">
      <alignment horizontal="center"/>
      <protection/>
    </xf>
    <xf numFmtId="0" fontId="0" fillId="0" borderId="14" xfId="0" applyBorder="1" applyAlignment="1" applyProtection="1">
      <alignment/>
      <protection/>
    </xf>
    <xf numFmtId="0" fontId="2" fillId="0" borderId="10" xfId="0" applyFont="1" applyBorder="1" applyAlignment="1" applyProtection="1">
      <alignment/>
      <protection/>
    </xf>
    <xf numFmtId="0" fontId="14" fillId="0" borderId="19" xfId="0" applyFont="1" applyBorder="1" applyAlignment="1" applyProtection="1">
      <alignment/>
      <protection/>
    </xf>
    <xf numFmtId="0" fontId="14" fillId="0" borderId="11" xfId="0" applyFont="1" applyBorder="1" applyAlignment="1" applyProtection="1">
      <alignment/>
      <protection/>
    </xf>
    <xf numFmtId="0" fontId="14" fillId="0" borderId="15" xfId="0" applyFont="1" applyBorder="1" applyAlignment="1" applyProtection="1">
      <alignment/>
      <protection/>
    </xf>
    <xf numFmtId="0" fontId="14"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right"/>
      <protection/>
    </xf>
    <xf numFmtId="0" fontId="7" fillId="0" borderId="0" xfId="0" applyFont="1" applyAlignment="1" applyProtection="1">
      <alignment/>
      <protection/>
    </xf>
    <xf numFmtId="0" fontId="9" fillId="0" borderId="0" xfId="0" applyFont="1" applyAlignment="1" applyProtection="1">
      <alignment horizontal="center"/>
      <protection/>
    </xf>
    <xf numFmtId="0" fontId="11" fillId="0" borderId="0" xfId="0" applyFont="1" applyAlignment="1" applyProtection="1">
      <alignment horizontal="center"/>
      <protection/>
    </xf>
    <xf numFmtId="166" fontId="23" fillId="35" borderId="0" xfId="0" applyNumberFormat="1" applyFont="1" applyFill="1" applyAlignment="1" applyProtection="1">
      <alignment/>
      <protection/>
    </xf>
    <xf numFmtId="14" fontId="23" fillId="35" borderId="0" xfId="0" applyNumberFormat="1" applyFont="1" applyFill="1" applyAlignment="1" applyProtection="1">
      <alignment/>
      <protection/>
    </xf>
    <xf numFmtId="43" fontId="6" fillId="35" borderId="0" xfId="42" applyFont="1" applyFill="1" applyBorder="1" applyAlignment="1" applyProtection="1">
      <alignment horizontal="right"/>
      <protection/>
    </xf>
    <xf numFmtId="0" fontId="23" fillId="35" borderId="0" xfId="0" applyFont="1" applyFill="1" applyAlignment="1" applyProtection="1">
      <alignment horizontal="center"/>
      <protection/>
    </xf>
    <xf numFmtId="167" fontId="23" fillId="35" borderId="0" xfId="0" applyNumberFormat="1" applyFont="1" applyFill="1" applyAlignment="1" applyProtection="1">
      <alignment horizontal="center"/>
      <protection/>
    </xf>
    <xf numFmtId="0" fontId="23" fillId="35" borderId="0" xfId="0" applyFont="1" applyFill="1" applyAlignment="1" applyProtection="1">
      <alignment horizontal="right"/>
      <protection/>
    </xf>
    <xf numFmtId="0" fontId="26" fillId="0" borderId="0" xfId="0" applyFont="1" applyAlignment="1" applyProtection="1">
      <alignment horizontal="center"/>
      <protection/>
    </xf>
    <xf numFmtId="0" fontId="24" fillId="36" borderId="0" xfId="0" applyFont="1" applyFill="1" applyAlignment="1" applyProtection="1">
      <alignment horizontal="center"/>
      <protection/>
    </xf>
    <xf numFmtId="0" fontId="19" fillId="0" borderId="0" xfId="0" applyFont="1" applyAlignment="1" applyProtection="1">
      <alignment horizontal="center"/>
      <protection/>
    </xf>
    <xf numFmtId="0" fontId="17" fillId="35" borderId="0" xfId="0" applyFont="1" applyFill="1" applyAlignment="1" applyProtection="1">
      <alignment horizontal="center"/>
      <protection/>
    </xf>
    <xf numFmtId="0" fontId="32" fillId="37" borderId="0" xfId="0" applyFont="1" applyFill="1" applyAlignment="1" applyProtection="1">
      <alignment/>
      <protection/>
    </xf>
    <xf numFmtId="0" fontId="33" fillId="37" borderId="0" xfId="0" applyFont="1" applyFill="1" applyAlignment="1" applyProtection="1">
      <alignment/>
      <protection/>
    </xf>
    <xf numFmtId="0" fontId="34" fillId="37" borderId="0" xfId="0" applyFont="1" applyFill="1" applyAlignment="1" applyProtection="1">
      <alignment/>
      <protection/>
    </xf>
    <xf numFmtId="0" fontId="35" fillId="0" borderId="0" xfId="0" applyFont="1" applyAlignment="1" applyProtection="1">
      <alignment/>
      <protection/>
    </xf>
    <xf numFmtId="43" fontId="0" fillId="0" borderId="0" xfId="42" applyFont="1" applyBorder="1" applyAlignment="1" applyProtection="1">
      <alignment vertical="top" wrapText="1"/>
      <protection locked="0"/>
    </xf>
    <xf numFmtId="43" fontId="0" fillId="0" borderId="0" xfId="42" applyFont="1" applyBorder="1" applyAlignment="1" applyProtection="1">
      <alignment/>
      <protection locked="0"/>
    </xf>
    <xf numFmtId="0" fontId="11" fillId="0" borderId="0" xfId="0" applyFont="1" applyAlignment="1" applyProtection="1">
      <alignment horizontal="center"/>
      <protection locked="0"/>
    </xf>
    <xf numFmtId="167" fontId="9" fillId="0" borderId="0" xfId="0" applyNumberFormat="1" applyFont="1" applyAlignment="1" applyProtection="1">
      <alignment horizontal="center" vertical="center" wrapText="1"/>
      <protection locked="0"/>
    </xf>
    <xf numFmtId="0" fontId="30" fillId="34" borderId="0" xfId="0" applyFont="1" applyFill="1" applyAlignment="1" applyProtection="1">
      <alignment horizontal="center" vertical="center" wrapText="1"/>
      <protection locked="0"/>
    </xf>
    <xf numFmtId="174" fontId="7" fillId="0" borderId="0" xfId="42" applyNumberFormat="1" applyFont="1" applyAlignment="1" applyProtection="1">
      <alignment horizontal="right"/>
      <protection locked="0"/>
    </xf>
    <xf numFmtId="43" fontId="7" fillId="0" borderId="0" xfId="42" applyFont="1" applyAlignment="1" applyProtection="1">
      <alignment horizontal="left" indent="11"/>
      <protection locked="0"/>
    </xf>
    <xf numFmtId="167" fontId="7" fillId="0" borderId="0" xfId="0" applyNumberFormat="1" applyFont="1" applyAlignment="1" applyProtection="1">
      <alignment horizontal="right"/>
      <protection locked="0"/>
    </xf>
    <xf numFmtId="43" fontId="9" fillId="0" borderId="16" xfId="42" applyFont="1" applyBorder="1" applyAlignment="1" applyProtection="1">
      <alignment horizontal="left" indent="11"/>
      <protection locked="0"/>
    </xf>
    <xf numFmtId="1" fontId="8" fillId="34" borderId="0" xfId="0" applyNumberFormat="1" applyFont="1" applyFill="1" applyAlignment="1" applyProtection="1">
      <alignment horizontal="center"/>
      <protection locked="0"/>
    </xf>
    <xf numFmtId="0" fontId="12" fillId="0" borderId="0" xfId="0" applyFont="1" applyAlignment="1" applyProtection="1">
      <alignment/>
      <protection locked="0"/>
    </xf>
    <xf numFmtId="0" fontId="0" fillId="0" borderId="0" xfId="0" applyAlignment="1" applyProtection="1">
      <alignment horizontal="center"/>
      <protection locked="0"/>
    </xf>
    <xf numFmtId="43" fontId="0" fillId="0" borderId="0" xfId="42" applyFont="1" applyAlignment="1" applyProtection="1">
      <alignment/>
      <protection locked="0"/>
    </xf>
    <xf numFmtId="0" fontId="36" fillId="0" borderId="0" xfId="0" applyFont="1" applyAlignment="1" applyProtection="1">
      <alignment/>
      <protection/>
    </xf>
    <xf numFmtId="0" fontId="37" fillId="0" borderId="0" xfId="0" applyFont="1" applyAlignment="1" applyProtection="1">
      <alignment/>
      <protection/>
    </xf>
    <xf numFmtId="0" fontId="38" fillId="0" borderId="0" xfId="0" applyFont="1" applyAlignment="1" applyProtection="1">
      <alignment/>
      <protection/>
    </xf>
    <xf numFmtId="0" fontId="40" fillId="0" borderId="0" xfId="0" applyFont="1" applyAlignment="1" applyProtection="1">
      <alignment/>
      <protection/>
    </xf>
    <xf numFmtId="0" fontId="39" fillId="0" borderId="0" xfId="0" applyFont="1" applyAlignment="1" applyProtection="1">
      <alignment horizontal="center"/>
      <protection/>
    </xf>
    <xf numFmtId="0" fontId="41" fillId="0" borderId="0" xfId="0" applyFont="1" applyAlignment="1" applyProtection="1">
      <alignment horizontal="center"/>
      <protection/>
    </xf>
    <xf numFmtId="0" fontId="38" fillId="0" borderId="0" xfId="0" applyFont="1" applyAlignment="1" applyProtection="1">
      <alignment/>
      <protection locked="0"/>
    </xf>
    <xf numFmtId="0" fontId="41" fillId="0" borderId="0" xfId="0" applyFont="1" applyAlignment="1" applyProtection="1">
      <alignment horizontal="center"/>
      <protection locked="0"/>
    </xf>
    <xf numFmtId="175" fontId="0" fillId="0" borderId="0" xfId="0" applyNumberFormat="1" applyFont="1" applyAlignment="1" applyProtection="1">
      <alignment horizontal="right"/>
      <protection locked="0"/>
    </xf>
    <xf numFmtId="0" fontId="43" fillId="0" borderId="0" xfId="0" applyFont="1" applyAlignment="1" applyProtection="1">
      <alignment horizontal="center"/>
      <protection/>
    </xf>
    <xf numFmtId="0" fontId="20" fillId="0" borderId="0" xfId="0" applyFont="1" applyAlignment="1" applyProtection="1">
      <alignment horizontal="center"/>
      <protection/>
    </xf>
    <xf numFmtId="0" fontId="27" fillId="0" borderId="0" xfId="0" applyFont="1" applyAlignment="1" applyProtection="1">
      <alignment horizontal="center"/>
      <protection/>
    </xf>
    <xf numFmtId="0" fontId="43" fillId="37" borderId="0" xfId="0" applyFont="1" applyFill="1" applyAlignment="1" applyProtection="1">
      <alignment horizontal="center"/>
      <protection/>
    </xf>
    <xf numFmtId="0" fontId="20" fillId="35" borderId="0" xfId="0" applyFont="1" applyFill="1" applyAlignment="1" applyProtection="1">
      <alignment horizontal="center"/>
      <protection/>
    </xf>
    <xf numFmtId="0" fontId="22" fillId="36" borderId="0" xfId="0" applyFont="1" applyFill="1" applyAlignment="1" applyProtection="1">
      <alignment horizontal="center"/>
      <protection/>
    </xf>
    <xf numFmtId="0" fontId="28" fillId="37" borderId="0" xfId="0" applyFont="1" applyFill="1" applyAlignment="1" applyProtection="1">
      <alignment horizontal="center"/>
      <protection/>
    </xf>
    <xf numFmtId="170" fontId="29" fillId="0" borderId="0" xfId="42" applyNumberFormat="1" applyFont="1" applyAlignment="1" applyProtection="1">
      <alignment horizontal="right"/>
      <protection/>
    </xf>
    <xf numFmtId="170" fontId="23" fillId="35" borderId="0" xfId="0" applyNumberFormat="1" applyFont="1" applyFill="1" applyAlignment="1" applyProtection="1">
      <alignment/>
      <protection/>
    </xf>
    <xf numFmtId="0" fontId="17" fillId="37" borderId="0" xfId="0" applyFont="1" applyFill="1" applyAlignment="1" applyProtection="1">
      <alignment/>
      <protection/>
    </xf>
    <xf numFmtId="14" fontId="17" fillId="0" borderId="0" xfId="0" applyNumberFormat="1" applyFont="1" applyAlignment="1" applyProtection="1">
      <alignment/>
      <protection/>
    </xf>
    <xf numFmtId="43" fontId="0" fillId="0" borderId="0" xfId="42" applyFont="1" applyFill="1" applyBorder="1" applyAlignment="1" applyProtection="1">
      <alignment horizontal="left"/>
      <protection/>
    </xf>
    <xf numFmtId="166" fontId="23" fillId="35" borderId="0" xfId="0" applyNumberFormat="1" applyFont="1" applyFill="1" applyAlignment="1" applyProtection="1">
      <alignment horizontal="center"/>
      <protection/>
    </xf>
    <xf numFmtId="49" fontId="0" fillId="0" borderId="0" xfId="0" applyNumberFormat="1" applyFont="1" applyFill="1" applyBorder="1" applyAlignment="1" applyProtection="1">
      <alignment horizontal="left"/>
      <protection locked="0"/>
    </xf>
    <xf numFmtId="1" fontId="45" fillId="34" borderId="12" xfId="42" applyNumberFormat="1" applyFont="1" applyFill="1" applyBorder="1" applyAlignment="1" applyProtection="1">
      <alignment horizontal="center"/>
      <protection/>
    </xf>
    <xf numFmtId="0" fontId="45" fillId="34" borderId="12" xfId="0" applyFont="1" applyFill="1" applyBorder="1" applyAlignment="1" applyProtection="1">
      <alignment horizontal="center"/>
      <protection/>
    </xf>
    <xf numFmtId="1" fontId="30" fillId="34" borderId="18" xfId="42" applyNumberFormat="1" applyFont="1" applyFill="1" applyBorder="1" applyAlignment="1" applyProtection="1">
      <alignment horizontal="center"/>
      <protection locked="0"/>
    </xf>
    <xf numFmtId="0" fontId="45" fillId="34" borderId="12" xfId="0" applyFont="1" applyFill="1" applyBorder="1" applyAlignment="1" applyProtection="1">
      <alignment horizontal="left"/>
      <protection locked="0"/>
    </xf>
    <xf numFmtId="167" fontId="30" fillId="34" borderId="12" xfId="0" applyNumberFormat="1" applyFont="1" applyFill="1" applyBorder="1" applyAlignment="1" applyProtection="1">
      <alignment horizontal="center"/>
      <protection locked="0"/>
    </xf>
    <xf numFmtId="167" fontId="30" fillId="34" borderId="13" xfId="0" applyNumberFormat="1" applyFont="1" applyFill="1" applyBorder="1" applyAlignment="1" applyProtection="1">
      <alignment horizontal="center"/>
      <protection locked="0"/>
    </xf>
    <xf numFmtId="1" fontId="0" fillId="33" borderId="20" xfId="42" applyNumberFormat="1" applyFont="1" applyFill="1" applyBorder="1" applyAlignment="1" applyProtection="1">
      <alignment horizontal="center"/>
      <protection/>
    </xf>
    <xf numFmtId="1" fontId="7" fillId="0" borderId="20" xfId="42" applyNumberFormat="1" applyFont="1" applyBorder="1" applyAlignment="1" applyProtection="1">
      <alignment horizontal="left"/>
      <protection/>
    </xf>
    <xf numFmtId="1" fontId="7" fillId="0" borderId="20" xfId="0" applyNumberFormat="1" applyFont="1" applyBorder="1" applyAlignment="1" applyProtection="1">
      <alignment horizontal="left"/>
      <protection/>
    </xf>
    <xf numFmtId="1" fontId="7" fillId="0" borderId="20" xfId="42" applyNumberFormat="1" applyFont="1" applyFill="1" applyBorder="1" applyAlignment="1" applyProtection="1">
      <alignment horizontal="left"/>
      <protection/>
    </xf>
    <xf numFmtId="1" fontId="45" fillId="34" borderId="21" xfId="42" applyNumberFormat="1" applyFont="1" applyFill="1" applyBorder="1" applyAlignment="1" applyProtection="1">
      <alignment horizontal="center"/>
      <protection/>
    </xf>
    <xf numFmtId="1" fontId="30" fillId="34" borderId="21" xfId="42" applyNumberFormat="1" applyFont="1" applyFill="1" applyBorder="1" applyAlignment="1" applyProtection="1">
      <alignment horizontal="center"/>
      <protection locked="0"/>
    </xf>
    <xf numFmtId="167" fontId="9" fillId="0" borderId="20" xfId="0" applyNumberFormat="1" applyFont="1" applyBorder="1" applyAlignment="1" applyProtection="1">
      <alignment horizontal="center" vertical="center" wrapText="1"/>
      <protection locked="0"/>
    </xf>
    <xf numFmtId="1" fontId="45" fillId="34" borderId="20" xfId="0" applyNumberFormat="1" applyFont="1" applyFill="1" applyBorder="1" applyAlignment="1" applyProtection="1">
      <alignment horizontal="left"/>
      <protection locked="0"/>
    </xf>
    <xf numFmtId="0" fontId="7"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3" fontId="0" fillId="33" borderId="0" xfId="0" applyNumberFormat="1" applyFill="1" applyBorder="1" applyAlignment="1" applyProtection="1">
      <alignment horizontal="center"/>
      <protection/>
    </xf>
    <xf numFmtId="169" fontId="6" fillId="35" borderId="0" xfId="0" applyNumberFormat="1" applyFont="1" applyFill="1" applyBorder="1" applyAlignment="1" applyProtection="1">
      <alignment horizontal="center"/>
      <protection locked="0"/>
    </xf>
    <xf numFmtId="169" fontId="0" fillId="33" borderId="0" xfId="0" applyNumberFormat="1" applyFill="1" applyBorder="1" applyAlignment="1" applyProtection="1">
      <alignment horizontal="center"/>
      <protection/>
    </xf>
    <xf numFmtId="164" fontId="6" fillId="33" borderId="0" xfId="42" applyNumberFormat="1" applyFont="1" applyFill="1" applyBorder="1" applyAlignment="1" applyProtection="1">
      <alignment horizontal="center"/>
      <protection/>
    </xf>
    <xf numFmtId="0" fontId="46" fillId="33" borderId="0" xfId="0" applyFont="1" applyFill="1" applyBorder="1" applyAlignment="1" applyProtection="1">
      <alignment horizontal="left"/>
      <protection/>
    </xf>
    <xf numFmtId="1" fontId="47" fillId="33" borderId="20" xfId="42" applyNumberFormat="1" applyFont="1" applyFill="1" applyBorder="1" applyAlignment="1" applyProtection="1">
      <alignment horizontal="center"/>
      <protection/>
    </xf>
    <xf numFmtId="1" fontId="47" fillId="33" borderId="0" xfId="42" applyNumberFormat="1" applyFont="1" applyFill="1" applyBorder="1" applyAlignment="1" applyProtection="1">
      <alignment horizontal="center"/>
      <protection/>
    </xf>
    <xf numFmtId="164" fontId="14" fillId="33" borderId="0" xfId="42" applyNumberFormat="1" applyFont="1" applyFill="1" applyBorder="1" applyAlignment="1" applyProtection="1">
      <alignment horizontal="left"/>
      <protection/>
    </xf>
    <xf numFmtId="0" fontId="48" fillId="33" borderId="0" xfId="53" applyFont="1" applyFill="1" applyBorder="1" applyAlignment="1" applyProtection="1">
      <alignment horizontal="left"/>
      <protection/>
    </xf>
    <xf numFmtId="1" fontId="50" fillId="33" borderId="20" xfId="42" applyNumberFormat="1" applyFont="1" applyFill="1" applyBorder="1" applyAlignment="1" applyProtection="1">
      <alignment horizontal="center"/>
      <protection/>
    </xf>
    <xf numFmtId="0" fontId="51" fillId="38" borderId="22" xfId="0" applyFont="1" applyFill="1" applyBorder="1" applyAlignment="1" applyProtection="1">
      <alignment/>
      <protection/>
    </xf>
    <xf numFmtId="1" fontId="52" fillId="33" borderId="0" xfId="42" applyNumberFormat="1" applyFont="1" applyFill="1" applyBorder="1" applyAlignment="1" applyProtection="1">
      <alignment horizontal="center"/>
      <protection/>
    </xf>
    <xf numFmtId="0" fontId="53" fillId="0" borderId="0" xfId="0" applyFont="1" applyAlignment="1" applyProtection="1">
      <alignment horizontal="center"/>
      <protection/>
    </xf>
    <xf numFmtId="167" fontId="2" fillId="0" borderId="0" xfId="42" applyNumberFormat="1" applyFont="1" applyBorder="1" applyAlignment="1" applyProtection="1">
      <alignment horizontal="center"/>
      <protection/>
    </xf>
    <xf numFmtId="0" fontId="54" fillId="0" borderId="0" xfId="0" applyFont="1" applyAlignment="1" applyProtection="1">
      <alignment/>
      <protection locked="0"/>
    </xf>
    <xf numFmtId="43" fontId="14" fillId="0" borderId="0" xfId="42" applyFont="1" applyBorder="1" applyAlignment="1" applyProtection="1">
      <alignment/>
      <protection/>
    </xf>
    <xf numFmtId="0" fontId="4" fillId="33" borderId="0" xfId="0" applyFont="1" applyFill="1" applyBorder="1" applyAlignment="1" applyProtection="1">
      <alignment horizontal="left"/>
      <protection/>
    </xf>
    <xf numFmtId="0" fontId="55" fillId="0" borderId="0" xfId="0" applyFont="1" applyAlignment="1" applyProtection="1">
      <alignment horizontal="center"/>
      <protection/>
    </xf>
    <xf numFmtId="0" fontId="56" fillId="0" borderId="0" xfId="0" applyFont="1" applyAlignment="1" applyProtection="1">
      <alignment/>
      <protection/>
    </xf>
    <xf numFmtId="0" fontId="55"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Alignment="1" applyProtection="1">
      <alignment/>
      <protection/>
    </xf>
    <xf numFmtId="0" fontId="57" fillId="0" borderId="0" xfId="0" applyFont="1" applyAlignment="1" applyProtection="1">
      <alignment/>
      <protection/>
    </xf>
    <xf numFmtId="15" fontId="4" fillId="0" borderId="0" xfId="0" applyNumberFormat="1" applyFont="1" applyAlignment="1" applyProtection="1">
      <alignment horizontal="center"/>
      <protection/>
    </xf>
    <xf numFmtId="165" fontId="4" fillId="0" borderId="0" xfId="0" applyNumberFormat="1" applyFont="1" applyAlignment="1" applyProtection="1">
      <alignment/>
      <protection/>
    </xf>
    <xf numFmtId="0" fontId="58" fillId="0" borderId="0" xfId="0" applyFont="1" applyAlignment="1" applyProtection="1">
      <alignment/>
      <protection/>
    </xf>
    <xf numFmtId="0" fontId="59" fillId="0" borderId="0" xfId="0" applyFont="1" applyAlignment="1" applyProtection="1">
      <alignment horizontal="center"/>
      <protection/>
    </xf>
    <xf numFmtId="0" fontId="49" fillId="0" borderId="0" xfId="0" applyFont="1" applyAlignment="1" applyProtection="1">
      <alignment horizontal="center"/>
      <protection/>
    </xf>
    <xf numFmtId="0" fontId="49" fillId="0" borderId="0" xfId="0" applyFont="1" applyAlignment="1" applyProtection="1">
      <alignment/>
      <protection/>
    </xf>
    <xf numFmtId="0" fontId="49" fillId="0" borderId="0" xfId="0" applyFont="1" applyAlignment="1">
      <alignment/>
    </xf>
    <xf numFmtId="0" fontId="14" fillId="0" borderId="0" xfId="0" applyFont="1" applyAlignment="1" applyProtection="1">
      <alignment/>
      <protection/>
    </xf>
    <xf numFmtId="15" fontId="49" fillId="0" borderId="0" xfId="0" applyNumberFormat="1" applyFont="1" applyAlignment="1" applyProtection="1">
      <alignment/>
      <protection/>
    </xf>
    <xf numFmtId="1" fontId="49" fillId="0" borderId="0" xfId="0" applyNumberFormat="1" applyFont="1" applyAlignment="1" applyProtection="1">
      <alignment horizontal="center"/>
      <protection/>
    </xf>
    <xf numFmtId="14" fontId="49" fillId="0" borderId="0" xfId="0" applyNumberFormat="1" applyFont="1" applyAlignment="1" applyProtection="1">
      <alignment horizontal="center"/>
      <protection/>
    </xf>
    <xf numFmtId="172" fontId="49" fillId="0" borderId="0" xfId="0" applyNumberFormat="1" applyFont="1" applyAlignment="1" applyProtection="1">
      <alignment/>
      <protection/>
    </xf>
    <xf numFmtId="0" fontId="44" fillId="0" borderId="0" xfId="0" applyFont="1" applyAlignment="1" applyProtection="1">
      <alignment horizontal="right"/>
      <protection/>
    </xf>
    <xf numFmtId="0" fontId="44" fillId="0" borderId="0" xfId="0" applyFont="1" applyAlignment="1" applyProtection="1">
      <alignment horizontal="center"/>
      <protection/>
    </xf>
    <xf numFmtId="0" fontId="46" fillId="0" borderId="0" xfId="0" applyFont="1" applyAlignment="1" applyProtection="1">
      <alignment/>
      <protection/>
    </xf>
    <xf numFmtId="165" fontId="49" fillId="0" borderId="0" xfId="0" applyNumberFormat="1" applyFont="1" applyAlignment="1" applyProtection="1">
      <alignment horizontal="right"/>
      <protection/>
    </xf>
    <xf numFmtId="165" fontId="49" fillId="0" borderId="0" xfId="0" applyNumberFormat="1" applyFont="1" applyAlignment="1" applyProtection="1">
      <alignment/>
      <protection/>
    </xf>
    <xf numFmtId="0" fontId="49" fillId="0" borderId="0" xfId="0" applyFont="1" applyAlignment="1" applyProtection="1">
      <alignment horizontal="right"/>
      <protection/>
    </xf>
    <xf numFmtId="0" fontId="59" fillId="0" borderId="0" xfId="0" applyFont="1" applyAlignment="1" applyProtection="1">
      <alignment/>
      <protection/>
    </xf>
    <xf numFmtId="165" fontId="4" fillId="0" borderId="0" xfId="0" applyNumberFormat="1" applyFont="1" applyAlignment="1" applyProtection="1">
      <alignment horizontal="center"/>
      <protection/>
    </xf>
    <xf numFmtId="43" fontId="49" fillId="0" borderId="0" xfId="0" applyNumberFormat="1" applyFont="1" applyAlignment="1" applyProtection="1">
      <alignment horizontal="right"/>
      <protection/>
    </xf>
    <xf numFmtId="0" fontId="46" fillId="0" borderId="0" xfId="0" applyFont="1" applyAlignment="1" applyProtection="1">
      <alignment horizontal="right"/>
      <protection/>
    </xf>
    <xf numFmtId="165" fontId="46" fillId="0" borderId="0" xfId="0" applyNumberFormat="1" applyFont="1" applyAlignment="1" applyProtection="1">
      <alignment/>
      <protection/>
    </xf>
    <xf numFmtId="165" fontId="14" fillId="0" borderId="0" xfId="0" applyNumberFormat="1" applyFont="1" applyAlignment="1" applyProtection="1">
      <alignment/>
      <protection/>
    </xf>
    <xf numFmtId="0" fontId="49" fillId="0" borderId="0" xfId="0" applyFont="1" applyAlignment="1" applyProtection="1">
      <alignment horizontal="left"/>
      <protection/>
    </xf>
    <xf numFmtId="43" fontId="49" fillId="0" borderId="0" xfId="0" applyNumberFormat="1" applyFont="1" applyAlignment="1" applyProtection="1">
      <alignment/>
      <protection/>
    </xf>
    <xf numFmtId="2" fontId="49" fillId="0" borderId="0" xfId="0" applyNumberFormat="1" applyFont="1" applyAlignment="1" applyProtection="1">
      <alignment/>
      <protection/>
    </xf>
    <xf numFmtId="173" fontId="49" fillId="0" borderId="0" xfId="0" applyNumberFormat="1" applyFont="1" applyAlignment="1" applyProtection="1">
      <alignment/>
      <protection/>
    </xf>
    <xf numFmtId="43" fontId="55" fillId="0" borderId="0" xfId="42" applyFont="1" applyFill="1" applyBorder="1" applyAlignment="1" applyProtection="1">
      <alignment/>
      <protection/>
    </xf>
    <xf numFmtId="3" fontId="55" fillId="0" borderId="0" xfId="42" applyNumberFormat="1" applyFont="1" applyAlignment="1" applyProtection="1">
      <alignment horizontal="center"/>
      <protection/>
    </xf>
    <xf numFmtId="167" fontId="49" fillId="0" borderId="0" xfId="0" applyNumberFormat="1" applyFont="1" applyAlignment="1" applyProtection="1">
      <alignment/>
      <protection/>
    </xf>
    <xf numFmtId="43" fontId="49" fillId="0" borderId="0" xfId="42" applyFont="1" applyAlignment="1" applyProtection="1">
      <alignment/>
      <protection/>
    </xf>
    <xf numFmtId="167" fontId="49" fillId="0" borderId="0" xfId="42" applyNumberFormat="1" applyFont="1" applyAlignment="1" applyProtection="1">
      <alignment/>
      <protection/>
    </xf>
    <xf numFmtId="0" fontId="49" fillId="0" borderId="0" xfId="0" applyFont="1" applyAlignment="1" applyProtection="1">
      <alignment/>
      <protection/>
    </xf>
    <xf numFmtId="167" fontId="4" fillId="0" borderId="0" xfId="0" applyNumberFormat="1" applyFont="1" applyAlignment="1" applyProtection="1">
      <alignment/>
      <protection/>
    </xf>
    <xf numFmtId="167" fontId="49" fillId="0" borderId="11" xfId="42" applyNumberFormat="1" applyFont="1" applyBorder="1" applyAlignment="1" applyProtection="1">
      <alignment/>
      <protection/>
    </xf>
    <xf numFmtId="43" fontId="4" fillId="0" borderId="0" xfId="42" applyFont="1" applyAlignment="1" applyProtection="1">
      <alignment/>
      <protection/>
    </xf>
    <xf numFmtId="167" fontId="4" fillId="0" borderId="0" xfId="42" applyNumberFormat="1" applyFont="1" applyBorder="1" applyAlignment="1" applyProtection="1">
      <alignment/>
      <protection/>
    </xf>
    <xf numFmtId="0" fontId="4" fillId="0" borderId="0" xfId="0" applyFont="1" applyAlignment="1" applyProtection="1">
      <alignment/>
      <protection/>
    </xf>
    <xf numFmtId="43" fontId="14" fillId="0" borderId="16" xfId="42" applyFont="1" applyBorder="1" applyAlignment="1" applyProtection="1">
      <alignment/>
      <protection/>
    </xf>
    <xf numFmtId="167" fontId="4" fillId="0" borderId="16" xfId="0" applyNumberFormat="1" applyFont="1" applyBorder="1" applyAlignment="1" applyProtection="1">
      <alignment/>
      <protection/>
    </xf>
    <xf numFmtId="167" fontId="49" fillId="0" borderId="0" xfId="0" applyNumberFormat="1" applyFont="1" applyAlignment="1" applyProtection="1">
      <alignment/>
      <protection/>
    </xf>
    <xf numFmtId="0" fontId="44" fillId="0" borderId="0" xfId="0" applyFont="1" applyAlignment="1" applyProtection="1">
      <alignment/>
      <protection/>
    </xf>
    <xf numFmtId="43" fontId="55" fillId="0" borderId="0" xfId="42" applyFont="1" applyAlignment="1" applyProtection="1">
      <alignment/>
      <protection/>
    </xf>
    <xf numFmtId="43" fontId="55" fillId="0" borderId="0" xfId="42" applyFont="1" applyAlignment="1" applyProtection="1">
      <alignment horizontal="center"/>
      <protection/>
    </xf>
    <xf numFmtId="167" fontId="49" fillId="0" borderId="0" xfId="0" applyNumberFormat="1" applyFont="1" applyBorder="1" applyAlignment="1" applyProtection="1">
      <alignment/>
      <protection/>
    </xf>
    <xf numFmtId="0" fontId="49" fillId="0" borderId="0" xfId="0" applyFont="1" applyBorder="1" applyAlignment="1" applyProtection="1">
      <alignment/>
      <protection/>
    </xf>
    <xf numFmtId="4" fontId="49" fillId="0" borderId="0" xfId="0" applyNumberFormat="1" applyFont="1" applyBorder="1" applyAlignment="1" applyProtection="1">
      <alignment/>
      <protection/>
    </xf>
    <xf numFmtId="167" fontId="49" fillId="0" borderId="0" xfId="0" applyNumberFormat="1" applyFont="1" applyAlignment="1" applyProtection="1">
      <alignment horizontal="right"/>
      <protection/>
    </xf>
    <xf numFmtId="167" fontId="4" fillId="0" borderId="16" xfId="42" applyNumberFormat="1" applyFont="1" applyBorder="1" applyAlignment="1" applyProtection="1">
      <alignment/>
      <protection/>
    </xf>
    <xf numFmtId="0" fontId="14" fillId="0" borderId="0" xfId="0" applyFont="1" applyAlignment="1" applyProtection="1">
      <alignment horizontal="center"/>
      <protection/>
    </xf>
    <xf numFmtId="0" fontId="12" fillId="0" borderId="0" xfId="0" applyFont="1" applyAlignment="1" applyProtection="1">
      <alignment horizontal="center"/>
      <protection/>
    </xf>
    <xf numFmtId="0" fontId="12" fillId="0" borderId="0" xfId="0" applyFont="1" applyAlignment="1" applyProtection="1">
      <alignment horizontal="left"/>
      <protection/>
    </xf>
    <xf numFmtId="0" fontId="49" fillId="0" borderId="0" xfId="0" applyFont="1" applyAlignment="1" applyProtection="1">
      <alignment/>
      <protection locked="0"/>
    </xf>
    <xf numFmtId="0" fontId="14" fillId="0" borderId="0" xfId="0" applyFont="1" applyAlignment="1" applyProtection="1">
      <alignment horizontal="center"/>
      <protection locked="0"/>
    </xf>
    <xf numFmtId="0" fontId="14" fillId="0" borderId="0" xfId="0" applyFont="1" applyAlignment="1" applyProtection="1">
      <alignment horizontal="left"/>
      <protection locked="0"/>
    </xf>
    <xf numFmtId="0" fontId="12" fillId="0" borderId="0" xfId="0" applyFont="1" applyAlignment="1" applyProtection="1">
      <alignment horizontal="center"/>
      <protection locked="0"/>
    </xf>
    <xf numFmtId="0" fontId="14" fillId="0" borderId="0" xfId="0" applyFont="1" applyAlignment="1" applyProtection="1">
      <alignment horizontal="center" vertical="center" wrapText="1"/>
      <protection locked="0"/>
    </xf>
    <xf numFmtId="167" fontId="14" fillId="0" borderId="0" xfId="0" applyNumberFormat="1" applyFont="1" applyAlignment="1" applyProtection="1">
      <alignment horizontal="center" vertical="center" wrapText="1"/>
      <protection locked="0"/>
    </xf>
    <xf numFmtId="167" fontId="46" fillId="0" borderId="0" xfId="42" applyNumberFormat="1" applyFont="1" applyAlignment="1" applyProtection="1">
      <alignment horizontal="right"/>
      <protection locked="0"/>
    </xf>
    <xf numFmtId="172" fontId="46" fillId="0" borderId="0" xfId="0" applyNumberFormat="1" applyFont="1" applyAlignment="1" applyProtection="1">
      <alignment horizontal="center"/>
      <protection locked="0"/>
    </xf>
    <xf numFmtId="167" fontId="46" fillId="0" borderId="16" xfId="42" applyNumberFormat="1" applyFont="1" applyBorder="1" applyAlignment="1" applyProtection="1">
      <alignment horizontal="right"/>
      <protection locked="0"/>
    </xf>
    <xf numFmtId="167" fontId="14" fillId="0" borderId="16" xfId="0" applyNumberFormat="1" applyFont="1" applyBorder="1" applyAlignment="1" applyProtection="1">
      <alignment horizontal="center"/>
      <protection locked="0"/>
    </xf>
    <xf numFmtId="4" fontId="49" fillId="0" borderId="0" xfId="0" applyNumberFormat="1" applyFont="1" applyAlignment="1" applyProtection="1">
      <alignment/>
      <protection locked="0"/>
    </xf>
    <xf numFmtId="0" fontId="12" fillId="0" borderId="0" xfId="0" applyFont="1" applyAlignment="1" applyProtection="1">
      <alignment/>
      <protection locked="0"/>
    </xf>
    <xf numFmtId="167" fontId="49" fillId="0" borderId="0" xfId="0" applyNumberFormat="1" applyFont="1" applyAlignment="1" applyProtection="1">
      <alignment/>
      <protection locked="0"/>
    </xf>
    <xf numFmtId="0" fontId="12" fillId="0" borderId="0" xfId="0" applyFont="1" applyAlignment="1" applyProtection="1">
      <alignment horizontal="left"/>
      <protection locked="0"/>
    </xf>
    <xf numFmtId="0" fontId="49" fillId="33" borderId="0" xfId="0" applyFont="1" applyFill="1" applyBorder="1" applyAlignment="1" applyProtection="1">
      <alignment horizontal="center"/>
      <protection/>
    </xf>
    <xf numFmtId="0" fontId="46" fillId="33" borderId="0" xfId="0" applyFont="1" applyFill="1" applyBorder="1" applyAlignment="1" applyProtection="1">
      <alignment horizontal="center"/>
      <protection/>
    </xf>
    <xf numFmtId="0" fontId="49" fillId="33" borderId="0" xfId="0" applyFont="1" applyFill="1" applyAlignment="1" applyProtection="1">
      <alignment horizontal="center"/>
      <protection/>
    </xf>
    <xf numFmtId="3" fontId="49" fillId="33" borderId="0" xfId="0" applyNumberFormat="1" applyFont="1" applyFill="1" applyBorder="1" applyAlignment="1" applyProtection="1">
      <alignment horizontal="center"/>
      <protection/>
    </xf>
    <xf numFmtId="169" fontId="49" fillId="33" borderId="0" xfId="0" applyNumberFormat="1" applyFont="1" applyFill="1" applyBorder="1" applyAlignment="1" applyProtection="1">
      <alignment horizontal="center"/>
      <protection/>
    </xf>
    <xf numFmtId="3" fontId="55" fillId="33" borderId="0" xfId="0" applyNumberFormat="1" applyFont="1" applyFill="1" applyAlignment="1" applyProtection="1">
      <alignment horizontal="center"/>
      <protection/>
    </xf>
    <xf numFmtId="167" fontId="46" fillId="33" borderId="0" xfId="0" applyNumberFormat="1" applyFont="1" applyFill="1" applyAlignment="1" applyProtection="1">
      <alignment horizontal="center"/>
      <protection/>
    </xf>
    <xf numFmtId="167" fontId="14" fillId="33" borderId="0" xfId="0" applyNumberFormat="1" applyFont="1" applyFill="1" applyAlignment="1" applyProtection="1">
      <alignment horizontal="center"/>
      <protection/>
    </xf>
    <xf numFmtId="167" fontId="14" fillId="33" borderId="0" xfId="0" applyNumberFormat="1" applyFont="1" applyFill="1" applyBorder="1" applyAlignment="1" applyProtection="1">
      <alignment horizontal="center"/>
      <protection/>
    </xf>
    <xf numFmtId="167" fontId="46" fillId="33" borderId="0" xfId="0" applyNumberFormat="1" applyFont="1" applyFill="1" applyAlignment="1" applyProtection="1">
      <alignment horizontal="center"/>
      <protection locked="0"/>
    </xf>
    <xf numFmtId="0" fontId="14" fillId="33" borderId="0" xfId="0" applyFont="1" applyFill="1" applyAlignment="1" applyProtection="1">
      <alignment horizontal="center" vertical="center" wrapText="1"/>
      <protection locked="0"/>
    </xf>
    <xf numFmtId="0" fontId="4" fillId="33" borderId="0" xfId="0" applyFont="1" applyFill="1" applyAlignment="1" applyProtection="1">
      <alignment/>
      <protection locked="0"/>
    </xf>
    <xf numFmtId="167" fontId="14" fillId="33" borderId="0" xfId="0" applyNumberFormat="1" applyFont="1" applyFill="1" applyBorder="1" applyAlignment="1" applyProtection="1">
      <alignment horizontal="center"/>
      <protection locked="0"/>
    </xf>
    <xf numFmtId="1" fontId="49" fillId="33" borderId="10" xfId="42" applyNumberFormat="1" applyFont="1" applyFill="1" applyBorder="1" applyAlignment="1" applyProtection="1">
      <alignment horizontal="center"/>
      <protection/>
    </xf>
    <xf numFmtId="1" fontId="49" fillId="33" borderId="0" xfId="42" applyNumberFormat="1" applyFont="1" applyFill="1" applyBorder="1" applyAlignment="1" applyProtection="1">
      <alignment horizontal="center"/>
      <protection/>
    </xf>
    <xf numFmtId="1" fontId="60" fillId="34" borderId="20" xfId="42" applyNumberFormat="1" applyFont="1" applyFill="1" applyBorder="1" applyAlignment="1" applyProtection="1">
      <alignment/>
      <protection/>
    </xf>
    <xf numFmtId="43" fontId="6" fillId="35" borderId="0" xfId="42" applyFont="1" applyFill="1" applyBorder="1" applyAlignment="1" applyProtection="1">
      <alignment horizontal="center"/>
      <protection locked="0"/>
    </xf>
    <xf numFmtId="0" fontId="0" fillId="0" borderId="0" xfId="0" applyAlignment="1">
      <alignment horizontal="left"/>
    </xf>
    <xf numFmtId="0" fontId="0" fillId="0" borderId="0" xfId="0" applyAlignment="1" applyProtection="1">
      <alignment horizontal="left" indent="12"/>
      <protection/>
    </xf>
    <xf numFmtId="1" fontId="30" fillId="34" borderId="21" xfId="42" applyNumberFormat="1" applyFont="1" applyFill="1" applyBorder="1" applyAlignment="1" applyProtection="1">
      <alignment horizontal="left"/>
      <protection/>
    </xf>
    <xf numFmtId="1" fontId="45" fillId="34" borderId="20" xfId="42" applyNumberFormat="1" applyFont="1" applyFill="1" applyBorder="1" applyAlignment="1" applyProtection="1">
      <alignment horizontal="center"/>
      <protection/>
    </xf>
    <xf numFmtId="1" fontId="45" fillId="34" borderId="0" xfId="42" applyNumberFormat="1" applyFont="1" applyFill="1" applyAlignment="1" applyProtection="1">
      <alignment horizontal="center"/>
      <protection/>
    </xf>
    <xf numFmtId="43" fontId="45" fillId="34" borderId="0" xfId="42" applyFont="1" applyFill="1" applyBorder="1" applyAlignment="1" applyProtection="1">
      <alignment/>
      <protection/>
    </xf>
    <xf numFmtId="43" fontId="45" fillId="34" borderId="0" xfId="42" applyFont="1" applyFill="1" applyBorder="1" applyAlignment="1" applyProtection="1">
      <alignment horizontal="center"/>
      <protection/>
    </xf>
    <xf numFmtId="3" fontId="42" fillId="34" borderId="0" xfId="0" applyNumberFormat="1" applyFont="1" applyFill="1" applyAlignment="1" applyProtection="1">
      <alignment horizontal="center"/>
      <protection/>
    </xf>
    <xf numFmtId="43" fontId="0" fillId="0" borderId="0" xfId="42" applyFont="1" applyAlignment="1" applyProtection="1">
      <alignment horizontal="left" indent="11"/>
      <protection/>
    </xf>
    <xf numFmtId="43" fontId="0" fillId="0" borderId="17" xfId="42" applyFont="1" applyBorder="1" applyAlignment="1" applyProtection="1">
      <alignment horizontal="left" indent="11"/>
      <protection/>
    </xf>
    <xf numFmtId="43" fontId="0" fillId="0" borderId="0" xfId="42" applyFont="1" applyBorder="1" applyAlignment="1" applyProtection="1">
      <alignment horizontal="left" indent="11"/>
      <protection/>
    </xf>
    <xf numFmtId="1" fontId="49" fillId="0" borderId="0" xfId="42" applyNumberFormat="1" applyFont="1" applyFill="1" applyBorder="1" applyAlignment="1" applyProtection="1">
      <alignment horizontal="center"/>
      <protection/>
    </xf>
    <xf numFmtId="1" fontId="4" fillId="33" borderId="20" xfId="42" applyNumberFormat="1" applyFont="1" applyFill="1" applyBorder="1" applyAlignment="1" applyProtection="1">
      <alignment/>
      <protection/>
    </xf>
    <xf numFmtId="1" fontId="62" fillId="34" borderId="0" xfId="42" applyNumberFormat="1" applyFont="1" applyFill="1" applyBorder="1" applyAlignment="1" applyProtection="1">
      <alignment horizontal="center"/>
      <protection/>
    </xf>
    <xf numFmtId="43" fontId="63" fillId="34" borderId="0" xfId="42" applyFont="1" applyFill="1" applyAlignment="1" applyProtection="1">
      <alignment/>
      <protection/>
    </xf>
    <xf numFmtId="167" fontId="62" fillId="34" borderId="0" xfId="42" applyNumberFormat="1" applyFont="1" applyFill="1" applyAlignment="1" applyProtection="1">
      <alignment horizontal="center"/>
      <protection/>
    </xf>
    <xf numFmtId="0" fontId="62" fillId="34" borderId="0" xfId="0" applyFont="1" applyFill="1" applyAlignment="1" applyProtection="1">
      <alignment horizontal="center"/>
      <protection/>
    </xf>
    <xf numFmtId="167" fontId="64" fillId="34" borderId="0" xfId="0" applyNumberFormat="1" applyFont="1" applyFill="1" applyAlignment="1" applyProtection="1">
      <alignment horizontal="center"/>
      <protection/>
    </xf>
    <xf numFmtId="1" fontId="45" fillId="34" borderId="0" xfId="0" applyNumberFormat="1" applyFont="1" applyFill="1" applyAlignment="1" applyProtection="1">
      <alignment/>
      <protection locked="0"/>
    </xf>
    <xf numFmtId="1" fontId="65" fillId="39" borderId="0" xfId="0" applyNumberFormat="1" applyFont="1" applyFill="1" applyAlignment="1" applyProtection="1">
      <alignment horizontal="center"/>
      <protection/>
    </xf>
    <xf numFmtId="167" fontId="2" fillId="35" borderId="0" xfId="42" applyNumberFormat="1" applyFont="1" applyFill="1" applyBorder="1" applyAlignment="1" applyProtection="1">
      <alignment horizontal="center"/>
      <protection/>
    </xf>
    <xf numFmtId="0" fontId="66" fillId="0" borderId="0" xfId="0" applyFont="1" applyAlignment="1">
      <alignment horizontal="left"/>
    </xf>
    <xf numFmtId="164" fontId="9" fillId="0" borderId="0" xfId="42" applyNumberFormat="1" applyFont="1" applyFill="1" applyBorder="1" applyAlignment="1" applyProtection="1">
      <alignment horizontal="left"/>
      <protection/>
    </xf>
    <xf numFmtId="164" fontId="12" fillId="0" borderId="0" xfId="42" applyNumberFormat="1" applyFont="1" applyFill="1" applyBorder="1" applyAlignment="1" applyProtection="1">
      <alignment horizontal="left"/>
      <protection/>
    </xf>
    <xf numFmtId="1" fontId="49" fillId="0" borderId="0" xfId="0" applyNumberFormat="1" applyFont="1" applyAlignment="1" applyProtection="1">
      <alignment horizontal="left"/>
      <protection/>
    </xf>
    <xf numFmtId="1" fontId="67" fillId="33" borderId="20" xfId="42" applyNumberFormat="1" applyFont="1" applyFill="1" applyBorder="1" applyAlignment="1" applyProtection="1">
      <alignment horizontal="center"/>
      <protection/>
    </xf>
    <xf numFmtId="0" fontId="14" fillId="0" borderId="0" xfId="0" applyFont="1" applyAlignment="1">
      <alignment horizontal="left"/>
    </xf>
    <xf numFmtId="0" fontId="66" fillId="0" borderId="0" xfId="0" applyFont="1" applyAlignment="1">
      <alignment horizontal="left" vertical="center" wrapText="1"/>
    </xf>
    <xf numFmtId="167" fontId="2" fillId="0" borderId="0" xfId="42" applyNumberFormat="1" applyFont="1" applyBorder="1" applyAlignment="1" applyProtection="1">
      <alignment horizontal="center"/>
      <protection/>
    </xf>
    <xf numFmtId="0" fontId="68" fillId="0" borderId="0" xfId="0" applyFont="1" applyAlignment="1" applyProtection="1">
      <alignment/>
      <protection/>
    </xf>
    <xf numFmtId="164" fontId="68" fillId="0" borderId="0" xfId="42" applyNumberFormat="1" applyFont="1" applyBorder="1" applyAlignment="1" applyProtection="1">
      <alignment horizontal="center"/>
      <protection/>
    </xf>
    <xf numFmtId="164" fontId="68" fillId="0" borderId="0" xfId="0" applyNumberFormat="1" applyFont="1" applyAlignment="1" applyProtection="1">
      <alignment/>
      <protection/>
    </xf>
    <xf numFmtId="164" fontId="51" fillId="36" borderId="0" xfId="0" applyNumberFormat="1" applyFont="1" applyFill="1" applyAlignment="1" applyProtection="1">
      <alignment/>
      <protection/>
    </xf>
    <xf numFmtId="43" fontId="49" fillId="0" borderId="0" xfId="42" applyFont="1" applyAlignment="1" applyProtection="1">
      <alignment horizontal="left"/>
      <protection/>
    </xf>
    <xf numFmtId="1" fontId="45" fillId="34" borderId="0" xfId="42" applyNumberFormat="1" applyFont="1" applyFill="1" applyAlignment="1" applyProtection="1">
      <alignment horizontal="center" vertical="center"/>
      <protection/>
    </xf>
    <xf numFmtId="43" fontId="45" fillId="34" borderId="0" xfId="42" applyFont="1" applyFill="1" applyBorder="1" applyAlignment="1" applyProtection="1">
      <alignment vertical="center"/>
      <protection/>
    </xf>
    <xf numFmtId="43" fontId="12" fillId="34" borderId="0" xfId="42" applyFont="1" applyFill="1" applyBorder="1" applyAlignment="1" applyProtection="1">
      <alignment horizontal="center" vertical="center" wrapText="1"/>
      <protection/>
    </xf>
    <xf numFmtId="1" fontId="45" fillId="34" borderId="20" xfId="42" applyNumberFormat="1" applyFont="1" applyFill="1" applyBorder="1" applyAlignment="1" applyProtection="1">
      <alignment horizontal="center" vertical="center"/>
      <protection/>
    </xf>
    <xf numFmtId="3" fontId="61" fillId="34" borderId="0" xfId="0" applyNumberFormat="1" applyFont="1" applyFill="1" applyAlignment="1" applyProtection="1">
      <alignment horizontal="center" vertical="center"/>
      <protection/>
    </xf>
    <xf numFmtId="167" fontId="14" fillId="0" borderId="0" xfId="0" applyNumberFormat="1" applyFont="1" applyAlignment="1" applyProtection="1">
      <alignment horizontal="center"/>
      <protection/>
    </xf>
    <xf numFmtId="0" fontId="14" fillId="34" borderId="0" xfId="0" applyFont="1" applyFill="1" applyAlignment="1" applyProtection="1">
      <alignment horizontal="left" vertical="center" wrapText="1" indent="11"/>
      <protection locked="0"/>
    </xf>
    <xf numFmtId="167" fontId="42" fillId="34" borderId="0" xfId="0" applyNumberFormat="1" applyFont="1" applyFill="1" applyAlignment="1" applyProtection="1">
      <alignment horizontal="center" vertical="center" wrapText="1"/>
      <protection locked="0"/>
    </xf>
    <xf numFmtId="0" fontId="4" fillId="0" borderId="0" xfId="0" applyFont="1" applyAlignment="1" applyProtection="1">
      <alignment/>
      <protection/>
    </xf>
    <xf numFmtId="0" fontId="49" fillId="0" borderId="0" xfId="0" applyFont="1" applyAlignment="1" applyProtection="1">
      <alignment horizontal="center"/>
      <protection/>
    </xf>
    <xf numFmtId="167" fontId="69" fillId="33" borderId="0" xfId="0" applyNumberFormat="1" applyFont="1" applyFill="1" applyAlignment="1" applyProtection="1">
      <alignment horizontal="center"/>
      <protection/>
    </xf>
    <xf numFmtId="165" fontId="0" fillId="35" borderId="0" xfId="42" applyNumberFormat="1" applyFont="1" applyFill="1" applyBorder="1" applyAlignment="1" applyProtection="1">
      <alignment horizontal="center"/>
      <protection/>
    </xf>
    <xf numFmtId="43" fontId="49" fillId="0" borderId="16" xfId="42" applyFont="1" applyBorder="1" applyAlignment="1" applyProtection="1">
      <alignment/>
      <protection/>
    </xf>
    <xf numFmtId="167" fontId="49" fillId="0" borderId="16" xfId="0" applyNumberFormat="1" applyFont="1" applyBorder="1" applyAlignment="1" applyProtection="1">
      <alignment/>
      <protection/>
    </xf>
    <xf numFmtId="43" fontId="0" fillId="0" borderId="0" xfId="42" applyFont="1" applyBorder="1" applyAlignment="1" applyProtection="1">
      <alignment horizontal="left" indent="11"/>
      <protection/>
    </xf>
    <xf numFmtId="43" fontId="4" fillId="0" borderId="16" xfId="42" applyFont="1" applyBorder="1" applyAlignment="1" applyProtection="1">
      <alignment horizontal="left" indent="11"/>
      <protection/>
    </xf>
    <xf numFmtId="43" fontId="66" fillId="0" borderId="0" xfId="42" applyFont="1" applyBorder="1" applyAlignment="1" applyProtection="1">
      <alignment horizontal="left" indent="11"/>
      <protection/>
    </xf>
    <xf numFmtId="165" fontId="66" fillId="0" borderId="0" xfId="42" applyNumberFormat="1" applyFont="1" applyBorder="1" applyAlignment="1" applyProtection="1">
      <alignment horizontal="right"/>
      <protection/>
    </xf>
    <xf numFmtId="165" fontId="0" fillId="0" borderId="0" xfId="42" applyNumberFormat="1" applyFont="1" applyBorder="1" applyAlignment="1" applyProtection="1">
      <alignment horizontal="right"/>
      <protection/>
    </xf>
    <xf numFmtId="165" fontId="4" fillId="0" borderId="16" xfId="42" applyNumberFormat="1" applyFont="1" applyBorder="1" applyAlignment="1" applyProtection="1">
      <alignment horizontal="right"/>
      <protection/>
    </xf>
    <xf numFmtId="3" fontId="0" fillId="0" borderId="0" xfId="42" applyNumberFormat="1" applyFont="1" applyAlignment="1" applyProtection="1">
      <alignment horizontal="right"/>
      <protection/>
    </xf>
    <xf numFmtId="3" fontId="0" fillId="0" borderId="17" xfId="42" applyNumberFormat="1" applyFont="1" applyBorder="1" applyAlignment="1" applyProtection="1">
      <alignment horizontal="right"/>
      <protection/>
    </xf>
    <xf numFmtId="3" fontId="0" fillId="0" borderId="23" xfId="42" applyNumberFormat="1" applyFont="1" applyBorder="1" applyAlignment="1" applyProtection="1">
      <alignment horizontal="right"/>
      <protection/>
    </xf>
    <xf numFmtId="43" fontId="2" fillId="0" borderId="0" xfId="42" applyFont="1" applyBorder="1" applyAlignment="1" applyProtection="1">
      <alignment horizontal="left" indent="11"/>
      <protection/>
    </xf>
    <xf numFmtId="3" fontId="2" fillId="0" borderId="0" xfId="42" applyNumberFormat="1" applyFont="1" applyBorder="1" applyAlignment="1" applyProtection="1">
      <alignment horizontal="right"/>
      <protection/>
    </xf>
    <xf numFmtId="164" fontId="0" fillId="35" borderId="0" xfId="42" applyNumberFormat="1" applyFont="1" applyFill="1" applyBorder="1" applyAlignment="1" applyProtection="1">
      <alignment horizontal="center"/>
      <protection/>
    </xf>
    <xf numFmtId="167" fontId="15" fillId="0" borderId="0" xfId="0" applyNumberFormat="1" applyFont="1" applyAlignment="1" applyProtection="1">
      <alignment horizontal="center"/>
      <protection/>
    </xf>
    <xf numFmtId="166" fontId="2" fillId="0" borderId="0" xfId="42" applyNumberFormat="1" applyFont="1" applyBorder="1" applyAlignment="1" applyProtection="1">
      <alignment horizontal="center"/>
      <protection/>
    </xf>
    <xf numFmtId="0" fontId="2" fillId="0" borderId="0" xfId="0" applyFont="1" applyAlignment="1">
      <alignment horizontal="left"/>
    </xf>
    <xf numFmtId="167" fontId="46" fillId="0" borderId="0" xfId="0" applyNumberFormat="1" applyFont="1" applyFill="1" applyAlignment="1" applyProtection="1">
      <alignment horizontal="center"/>
      <protection/>
    </xf>
    <xf numFmtId="0" fontId="49" fillId="0" borderId="0" xfId="0" applyFont="1" applyAlignment="1">
      <alignment horizontal="left"/>
    </xf>
    <xf numFmtId="0" fontId="44" fillId="0" borderId="0" xfId="0" applyFont="1" applyAlignment="1" applyProtection="1">
      <alignment/>
      <protection/>
    </xf>
    <xf numFmtId="165" fontId="0" fillId="0" borderId="0" xfId="42" applyNumberFormat="1" applyFont="1" applyAlignment="1" applyProtection="1">
      <alignment horizontal="center"/>
      <protection/>
    </xf>
    <xf numFmtId="165" fontId="2" fillId="0" borderId="16" xfId="42" applyNumberFormat="1" applyFont="1" applyBorder="1" applyAlignment="1" applyProtection="1">
      <alignment horizontal="center"/>
      <protection/>
    </xf>
    <xf numFmtId="165" fontId="15" fillId="35" borderId="0" xfId="0" applyNumberFormat="1" applyFont="1" applyFill="1" applyAlignment="1" applyProtection="1">
      <alignment horizontal="center"/>
      <protection locked="0"/>
    </xf>
    <xf numFmtId="165" fontId="7" fillId="0" borderId="0" xfId="0" applyNumberFormat="1" applyFont="1" applyAlignment="1" applyProtection="1">
      <alignment horizontal="center"/>
      <protection locked="0"/>
    </xf>
    <xf numFmtId="165" fontId="9" fillId="0" borderId="16" xfId="0" applyNumberFormat="1" applyFont="1" applyBorder="1" applyAlignment="1" applyProtection="1">
      <alignment horizontal="center"/>
      <protection locked="0"/>
    </xf>
    <xf numFmtId="165" fontId="7" fillId="0" borderId="20" xfId="42" applyNumberFormat="1" applyFont="1" applyBorder="1" applyAlignment="1" applyProtection="1">
      <alignment horizontal="right"/>
      <protection locked="0"/>
    </xf>
    <xf numFmtId="3" fontId="49" fillId="0" borderId="0" xfId="0" applyNumberFormat="1" applyFont="1" applyAlignment="1" applyProtection="1">
      <alignment/>
      <protection/>
    </xf>
    <xf numFmtId="3" fontId="55" fillId="0" borderId="0" xfId="0" applyNumberFormat="1" applyFont="1" applyAlignment="1" applyProtection="1">
      <alignment/>
      <protection/>
    </xf>
    <xf numFmtId="165" fontId="49" fillId="0" borderId="0" xfId="0" applyNumberFormat="1" applyFont="1" applyAlignment="1" applyProtection="1">
      <alignment horizontal="center"/>
      <protection/>
    </xf>
    <xf numFmtId="1" fontId="45" fillId="34" borderId="20" xfId="0" applyNumberFormat="1" applyFont="1" applyFill="1" applyBorder="1" applyAlignment="1" applyProtection="1">
      <alignment horizontal="center"/>
      <protection locked="0"/>
    </xf>
    <xf numFmtId="1" fontId="55" fillId="0" borderId="0" xfId="0" applyNumberFormat="1" applyFont="1" applyAlignment="1" applyProtection="1">
      <alignment horizontal="left"/>
      <protection/>
    </xf>
    <xf numFmtId="0" fontId="49" fillId="0" borderId="0" xfId="0" applyFont="1" applyAlignment="1" applyProtection="1">
      <alignment/>
      <protection locked="0"/>
    </xf>
    <xf numFmtId="165" fontId="7" fillId="0" borderId="0" xfId="0" applyNumberFormat="1" applyFont="1" applyFill="1" applyAlignment="1" applyProtection="1">
      <alignment horizontal="center"/>
      <protection locked="0"/>
    </xf>
    <xf numFmtId="1" fontId="4" fillId="33" borderId="0" xfId="42" applyNumberFormat="1" applyFont="1" applyFill="1" applyBorder="1" applyAlignment="1" applyProtection="1">
      <alignment horizontal="center"/>
      <protection/>
    </xf>
    <xf numFmtId="165" fontId="0" fillId="0" borderId="0" xfId="0" applyNumberFormat="1" applyAlignment="1" applyProtection="1">
      <alignment horizontal="center"/>
      <protection locked="0"/>
    </xf>
    <xf numFmtId="0" fontId="49" fillId="0" borderId="24" xfId="0" applyFont="1" applyBorder="1" applyAlignment="1">
      <alignment horizontal="center"/>
    </xf>
    <xf numFmtId="167" fontId="2" fillId="0" borderId="25" xfId="42" applyNumberFormat="1" applyFont="1" applyBorder="1" applyAlignment="1">
      <alignment horizontal="center"/>
    </xf>
    <xf numFmtId="0" fontId="14" fillId="0" borderId="26" xfId="0" applyFont="1" applyBorder="1" applyAlignment="1">
      <alignment horizontal="left"/>
    </xf>
    <xf numFmtId="0" fontId="49" fillId="0" borderId="27" xfId="0" applyFont="1" applyBorder="1" applyAlignment="1">
      <alignment horizontal="center"/>
    </xf>
    <xf numFmtId="166" fontId="2" fillId="0" borderId="28" xfId="42" applyNumberFormat="1" applyFont="1" applyBorder="1" applyAlignment="1">
      <alignment horizontal="center"/>
    </xf>
    <xf numFmtId="0" fontId="14" fillId="0" borderId="20" xfId="0" applyFont="1" applyBorder="1" applyAlignment="1">
      <alignment horizontal="left"/>
    </xf>
    <xf numFmtId="0" fontId="49" fillId="0" borderId="29" xfId="0" applyFont="1" applyBorder="1" applyAlignment="1">
      <alignment horizontal="center"/>
    </xf>
    <xf numFmtId="167" fontId="2" fillId="0" borderId="30" xfId="42" applyNumberFormat="1" applyFont="1" applyBorder="1" applyAlignment="1">
      <alignment horizontal="center"/>
    </xf>
    <xf numFmtId="0" fontId="14" fillId="0" borderId="31" xfId="0" applyFont="1" applyBorder="1" applyAlignment="1">
      <alignment horizontal="left"/>
    </xf>
    <xf numFmtId="0" fontId="49" fillId="40" borderId="0" xfId="0" applyFont="1" applyFill="1" applyAlignment="1">
      <alignment horizontal="center"/>
    </xf>
    <xf numFmtId="164" fontId="0" fillId="40" borderId="0" xfId="42" applyNumberFormat="1" applyFont="1" applyFill="1" applyAlignment="1">
      <alignment horizontal="center"/>
    </xf>
    <xf numFmtId="0" fontId="14" fillId="40" borderId="0" xfId="0" applyFont="1" applyFill="1" applyAlignment="1">
      <alignment horizontal="left"/>
    </xf>
    <xf numFmtId="164" fontId="0" fillId="0" borderId="17" xfId="42" applyNumberFormat="1" applyFont="1" applyBorder="1" applyAlignment="1">
      <alignment horizontal="center"/>
    </xf>
    <xf numFmtId="164" fontId="0" fillId="0" borderId="0" xfId="42" applyNumberFormat="1" applyFont="1" applyAlignment="1">
      <alignment horizontal="center"/>
    </xf>
    <xf numFmtId="167" fontId="2" fillId="0" borderId="32" xfId="42" applyNumberFormat="1" applyFont="1" applyBorder="1" applyAlignment="1">
      <alignment horizontal="center"/>
    </xf>
    <xf numFmtId="0" fontId="14" fillId="41" borderId="0" xfId="0" applyFont="1" applyFill="1" applyAlignment="1">
      <alignment horizontal="left"/>
    </xf>
    <xf numFmtId="0" fontId="3" fillId="41" borderId="0" xfId="0" applyFont="1" applyFill="1" applyAlignment="1">
      <alignment/>
    </xf>
    <xf numFmtId="167" fontId="14" fillId="41" borderId="0" xfId="0" applyNumberFormat="1" applyFont="1" applyFill="1" applyAlignment="1">
      <alignment horizontal="center"/>
    </xf>
    <xf numFmtId="0" fontId="0" fillId="41" borderId="0" xfId="0" applyFill="1" applyAlignment="1">
      <alignment/>
    </xf>
    <xf numFmtId="0" fontId="0" fillId="41" borderId="0" xfId="0"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10"/>
        </patternFill>
      </fill>
    </dxf>
    <dxf>
      <fill>
        <patternFill>
          <bgColor indexed="8"/>
        </patternFill>
      </fill>
    </dxf>
    <dxf>
      <fill>
        <patternFill>
          <bgColor indexed="8"/>
        </patternFill>
      </fill>
    </dxf>
    <dxf>
      <font>
        <color indexed="9"/>
      </font>
      <fill>
        <patternFill>
          <bgColor indexed="9"/>
        </patternFill>
      </fill>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44</xdr:row>
      <xdr:rowOff>200025</xdr:rowOff>
    </xdr:from>
    <xdr:to>
      <xdr:col>2</xdr:col>
      <xdr:colOff>4105275</xdr:colOff>
      <xdr:row>44</xdr:row>
      <xdr:rowOff>200025</xdr:rowOff>
    </xdr:to>
    <xdr:sp>
      <xdr:nvSpPr>
        <xdr:cNvPr id="1" name="Text Box 1"/>
        <xdr:cNvSpPr txBox="1">
          <a:spLocks noChangeArrowheads="1"/>
        </xdr:cNvSpPr>
      </xdr:nvSpPr>
      <xdr:spPr>
        <a:xfrm>
          <a:off x="2076450" y="8496300"/>
          <a:ext cx="41338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These are the maximum estimated figures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1</xdr:col>
      <xdr:colOff>485775</xdr:colOff>
      <xdr:row>0</xdr:row>
      <xdr:rowOff>28575</xdr:rowOff>
    </xdr:from>
    <xdr:to>
      <xdr:col>2</xdr:col>
      <xdr:colOff>2609850</xdr:colOff>
      <xdr:row>10</xdr:row>
      <xdr:rowOff>38100</xdr:rowOff>
    </xdr:to>
    <xdr:pic>
      <xdr:nvPicPr>
        <xdr:cNvPr id="2" name="Picture 4"/>
        <xdr:cNvPicPr preferRelativeResize="1">
          <a:picLocks noChangeAspect="1"/>
        </xdr:cNvPicPr>
      </xdr:nvPicPr>
      <xdr:blipFill>
        <a:blip r:embed="rId1"/>
        <a:stretch>
          <a:fillRect/>
        </a:stretch>
      </xdr:blipFill>
      <xdr:spPr>
        <a:xfrm>
          <a:off x="1609725" y="28575"/>
          <a:ext cx="3105150" cy="1924050"/>
        </a:xfrm>
        <a:prstGeom prst="rect">
          <a:avLst/>
        </a:prstGeom>
        <a:noFill/>
        <a:ln w="9525" cmpd="sng">
          <a:noFill/>
        </a:ln>
      </xdr:spPr>
    </xdr:pic>
    <xdr:clientData/>
  </xdr:twoCellAnchor>
  <xdr:twoCellAnchor editAs="oneCell">
    <xdr:from>
      <xdr:col>1</xdr:col>
      <xdr:colOff>762000</xdr:colOff>
      <xdr:row>3</xdr:row>
      <xdr:rowOff>57150</xdr:rowOff>
    </xdr:from>
    <xdr:to>
      <xdr:col>2</xdr:col>
      <xdr:colOff>2371725</xdr:colOff>
      <xdr:row>7</xdr:row>
      <xdr:rowOff>142875</xdr:rowOff>
    </xdr:to>
    <xdr:pic>
      <xdr:nvPicPr>
        <xdr:cNvPr id="3" name="Picture 1"/>
        <xdr:cNvPicPr preferRelativeResize="1">
          <a:picLocks noChangeAspect="1"/>
        </xdr:cNvPicPr>
      </xdr:nvPicPr>
      <xdr:blipFill>
        <a:blip r:embed="rId2"/>
        <a:stretch>
          <a:fillRect/>
        </a:stretch>
      </xdr:blipFill>
      <xdr:spPr>
        <a:xfrm>
          <a:off x="1885950" y="771525"/>
          <a:ext cx="25908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2724150</xdr:colOff>
      <xdr:row>36</xdr:row>
      <xdr:rowOff>0</xdr:rowOff>
    </xdr:from>
    <xdr:to>
      <xdr:col>6</xdr:col>
      <xdr:colOff>4638675</xdr:colOff>
      <xdr:row>41</xdr:row>
      <xdr:rowOff>76200</xdr:rowOff>
    </xdr:to>
    <xdr:sp>
      <xdr:nvSpPr>
        <xdr:cNvPr id="1" name="Text Box 14"/>
        <xdr:cNvSpPr txBox="1">
          <a:spLocks noChangeArrowheads="1"/>
        </xdr:cNvSpPr>
      </xdr:nvSpPr>
      <xdr:spPr>
        <a:xfrm>
          <a:off x="10382250" y="6038850"/>
          <a:ext cx="1914525" cy="885825"/>
        </a:xfrm>
        <a:prstGeom prst="rect">
          <a:avLst/>
        </a:prstGeom>
        <a:solidFill>
          <a:srgbClr val="FFFFFF"/>
        </a:solidFill>
        <a:ln w="38100" cmpd="sng">
          <a:solidFill>
            <a:srgbClr val="FF0000"/>
          </a:solidFill>
          <a:headEnd type="none"/>
          <a:tailEnd type="none"/>
        </a:ln>
      </xdr:spPr>
      <xdr:txBody>
        <a:bodyPr vertOverflow="clip" wrap="square" lIns="45720" tIns="32004" rIns="0" bIns="0"/>
        <a:p>
          <a:pPr algn="l">
            <a:defRPr/>
          </a:pPr>
          <a:r>
            <a:rPr lang="en-US" cap="none" sz="1400" b="1" i="0" u="none" baseline="0">
              <a:solidFill>
                <a:srgbClr val="FF0000"/>
              </a:solidFill>
              <a:latin typeface="Arial"/>
              <a:ea typeface="Arial"/>
              <a:cs typeface="Arial"/>
            </a:rPr>
            <a:t>If you don't like my rate and want to use another then put it in cell I44 -red box</a:t>
          </a:r>
        </a:p>
      </xdr:txBody>
    </xdr:sp>
    <xdr:clientData/>
  </xdr:twoCellAnchor>
  <xdr:twoCellAnchor>
    <xdr:from>
      <xdr:col>6</xdr:col>
      <xdr:colOff>4648200</xdr:colOff>
      <xdr:row>41</xdr:row>
      <xdr:rowOff>66675</xdr:rowOff>
    </xdr:from>
    <xdr:to>
      <xdr:col>7</xdr:col>
      <xdr:colOff>933450</xdr:colOff>
      <xdr:row>42</xdr:row>
      <xdr:rowOff>114300</xdr:rowOff>
    </xdr:to>
    <xdr:sp>
      <xdr:nvSpPr>
        <xdr:cNvPr id="2" name="Line 16"/>
        <xdr:cNvSpPr>
          <a:spLocks/>
        </xdr:cNvSpPr>
      </xdr:nvSpPr>
      <xdr:spPr>
        <a:xfrm>
          <a:off x="12306300" y="6915150"/>
          <a:ext cx="1133475" cy="209550"/>
        </a:xfrm>
        <a:prstGeom prst="line">
          <a:avLst/>
        </a:prstGeom>
        <a:noFill/>
        <a:ln w="571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1" name="List1" displayName="List1" ref="G8:G10" comment="" totalsRowShown="0">
  <autoFilter ref="G8:G10"/>
  <tableColumns count="1">
    <tableColumn id="1" name="Depen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afsa.ed.gov/FAFSA/app/schoolSearch?locale=en_EN"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120"/>
  <sheetViews>
    <sheetView zoomScale="75" zoomScaleNormal="75" zoomScalePageLayoutView="0" workbookViewId="0" topLeftCell="A30">
      <selection activeCell="D41" sqref="D41"/>
    </sheetView>
  </sheetViews>
  <sheetFormatPr defaultColWidth="9.140625" defaultRowHeight="12.75"/>
  <cols>
    <col min="1" max="1" width="16.8515625" style="34" customWidth="1"/>
    <col min="2" max="2" width="14.7109375" style="34" customWidth="1"/>
    <col min="3" max="3" width="99.7109375" style="20" customWidth="1"/>
    <col min="4" max="4" width="31.8515625" style="15" customWidth="1"/>
    <col min="5" max="5" width="21.421875" style="15" customWidth="1"/>
    <col min="6" max="6" width="11.8515625" style="203" customWidth="1"/>
    <col min="7" max="7" width="45.28125" style="204" hidden="1" customWidth="1"/>
    <col min="8" max="8" width="62.28125" style="204" hidden="1" customWidth="1"/>
    <col min="9" max="9" width="18.57421875" style="204" hidden="1" customWidth="1"/>
    <col min="10" max="10" width="20.8515625" style="204" hidden="1" customWidth="1"/>
    <col min="11" max="11" width="15.8515625" style="204" hidden="1" customWidth="1"/>
    <col min="12" max="12" width="20.57421875" style="204" hidden="1" customWidth="1"/>
    <col min="13" max="13" width="20.140625" style="204" hidden="1" customWidth="1"/>
    <col min="14" max="14" width="16.140625" style="204" hidden="1" customWidth="1"/>
    <col min="15" max="15" width="12.00390625" style="204" hidden="1" customWidth="1"/>
    <col min="16" max="16" width="7.57421875" style="204" customWidth="1"/>
    <col min="17" max="17" width="7.7109375" style="204" customWidth="1"/>
    <col min="18" max="18" width="5.421875" style="204" customWidth="1"/>
    <col min="19" max="19" width="7.57421875" style="139" customWidth="1"/>
    <col min="20" max="24" width="9.140625" style="139" customWidth="1"/>
    <col min="25" max="16384" width="9.140625" style="20" customWidth="1"/>
  </cols>
  <sheetData>
    <row r="1" spans="1:24" s="105" customFormat="1" ht="20.25">
      <c r="A1" s="1"/>
      <c r="B1" s="1"/>
      <c r="D1" s="3"/>
      <c r="E1" s="4"/>
      <c r="F1" s="193"/>
      <c r="G1" s="194"/>
      <c r="H1" s="194"/>
      <c r="I1" s="194"/>
      <c r="J1" s="194"/>
      <c r="K1" s="194"/>
      <c r="L1" s="195"/>
      <c r="M1" s="195"/>
      <c r="N1" s="195"/>
      <c r="O1" s="195"/>
      <c r="P1" s="195"/>
      <c r="Q1" s="195"/>
      <c r="R1" s="195"/>
      <c r="S1" s="137"/>
      <c r="T1" s="137"/>
      <c r="U1" s="137"/>
      <c r="V1" s="137"/>
      <c r="W1" s="137"/>
      <c r="X1" s="137"/>
    </row>
    <row r="2" spans="1:24" s="105" customFormat="1" ht="18" customHeight="1">
      <c r="A2" s="1"/>
      <c r="B2" s="1"/>
      <c r="C2" s="2" t="s">
        <v>20</v>
      </c>
      <c r="D2" s="3"/>
      <c r="E2" s="4" t="s">
        <v>306</v>
      </c>
      <c r="F2" s="193"/>
      <c r="G2" s="195"/>
      <c r="H2" s="194"/>
      <c r="I2" s="194"/>
      <c r="J2" s="195"/>
      <c r="K2" s="195"/>
      <c r="L2" s="195"/>
      <c r="M2" s="195"/>
      <c r="N2" s="195"/>
      <c r="O2" s="195"/>
      <c r="P2" s="195"/>
      <c r="Q2" s="195"/>
      <c r="R2" s="195"/>
      <c r="S2" s="137"/>
      <c r="T2" s="137"/>
      <c r="U2" s="137"/>
      <c r="V2" s="137"/>
      <c r="W2" s="137"/>
      <c r="X2" s="137"/>
    </row>
    <row r="3" spans="1:24" s="47" customFormat="1" ht="18" customHeight="1">
      <c r="A3" s="5"/>
      <c r="B3" s="5"/>
      <c r="C3" s="2" t="s">
        <v>21</v>
      </c>
      <c r="D3" s="7"/>
      <c r="E3" s="8"/>
      <c r="F3" s="196"/>
      <c r="G3" s="197"/>
      <c r="H3" s="198"/>
      <c r="I3" s="198"/>
      <c r="J3" s="197"/>
      <c r="K3" s="197"/>
      <c r="L3" s="197"/>
      <c r="M3" s="197"/>
      <c r="N3" s="197"/>
      <c r="O3" s="197"/>
      <c r="P3" s="197"/>
      <c r="Q3" s="197"/>
      <c r="R3" s="197"/>
      <c r="S3" s="138"/>
      <c r="T3" s="138"/>
      <c r="U3" s="138"/>
      <c r="V3" s="138"/>
      <c r="W3" s="138"/>
      <c r="X3" s="138"/>
    </row>
    <row r="4" spans="1:24" s="47" customFormat="1" ht="18" customHeight="1">
      <c r="A4" s="5"/>
      <c r="B4" s="5"/>
      <c r="C4" s="2" t="str">
        <f>"for Academic Year "&amp;'School DATA'!D6</f>
        <v>for Academic Year 2020/21</v>
      </c>
      <c r="E4" s="188"/>
      <c r="F4" s="196"/>
      <c r="G4" s="197"/>
      <c r="H4" s="198"/>
      <c r="I4" s="198"/>
      <c r="J4" s="197"/>
      <c r="K4" s="197"/>
      <c r="L4" s="197"/>
      <c r="M4" s="197"/>
      <c r="N4" s="197"/>
      <c r="O4" s="197"/>
      <c r="P4" s="197"/>
      <c r="Q4" s="197"/>
      <c r="R4" s="197"/>
      <c r="S4" s="138"/>
      <c r="T4" s="138"/>
      <c r="U4" s="138"/>
      <c r="V4" s="138"/>
      <c r="W4" s="138"/>
      <c r="X4" s="138"/>
    </row>
    <row r="5" spans="1:24" s="47" customFormat="1" ht="12.75">
      <c r="A5" s="5"/>
      <c r="B5" s="5"/>
      <c r="C5" s="6" t="s">
        <v>143</v>
      </c>
      <c r="F5" s="199"/>
      <c r="G5" s="197"/>
      <c r="H5" s="200">
        <f>'School DATA'!H48</f>
        <v>86887</v>
      </c>
      <c r="I5" s="201" t="s">
        <v>19</v>
      </c>
      <c r="J5" s="198"/>
      <c r="K5" s="198"/>
      <c r="L5" s="197"/>
      <c r="M5" s="197"/>
      <c r="N5" s="197"/>
      <c r="O5" s="197"/>
      <c r="P5" s="197"/>
      <c r="Q5" s="197"/>
      <c r="R5" s="197"/>
      <c r="S5" s="138"/>
      <c r="T5" s="138"/>
      <c r="U5" s="138"/>
      <c r="V5" s="138"/>
      <c r="W5" s="138"/>
      <c r="X5" s="138"/>
    </row>
    <row r="6" spans="1:24" s="47" customFormat="1" ht="12.75">
      <c r="A6" s="5"/>
      <c r="B6" s="5"/>
      <c r="C6" s="106" t="s">
        <v>230</v>
      </c>
      <c r="E6" s="45"/>
      <c r="F6" s="199"/>
      <c r="G6" s="197"/>
      <c r="H6" s="200">
        <f>'School DATA'!H50</f>
        <v>90560.58236</v>
      </c>
      <c r="I6" s="201" t="s">
        <v>110</v>
      </c>
      <c r="J6" s="198"/>
      <c r="K6" s="198"/>
      <c r="L6" s="197"/>
      <c r="M6" s="197"/>
      <c r="N6" s="197"/>
      <c r="O6" s="197"/>
      <c r="P6" s="197"/>
      <c r="Q6" s="197"/>
      <c r="R6" s="197"/>
      <c r="S6" s="138"/>
      <c r="T6" s="138"/>
      <c r="U6" s="138"/>
      <c r="V6" s="138"/>
      <c r="W6" s="138"/>
      <c r="X6" s="138"/>
    </row>
    <row r="7" spans="1:24" s="47" customFormat="1" ht="12.75">
      <c r="A7" s="5"/>
      <c r="B7" s="5"/>
      <c r="C7" s="6"/>
      <c r="D7" s="47">
        <v>1.4</v>
      </c>
      <c r="E7" s="153">
        <v>43998</v>
      </c>
      <c r="F7" s="196"/>
      <c r="G7" s="197"/>
      <c r="H7" s="201"/>
      <c r="I7" s="198"/>
      <c r="J7" s="197"/>
      <c r="K7" s="197"/>
      <c r="L7" s="197"/>
      <c r="M7" s="197"/>
      <c r="N7" s="197"/>
      <c r="O7" s="197"/>
      <c r="P7" s="197"/>
      <c r="Q7" s="197"/>
      <c r="R7" s="197"/>
      <c r="S7" s="138"/>
      <c r="T7" s="138"/>
      <c r="U7" s="138"/>
      <c r="V7" s="138"/>
      <c r="W7" s="138"/>
      <c r="X7" s="138"/>
    </row>
    <row r="8" spans="1:24" s="47" customFormat="1" ht="12.75">
      <c r="A8" s="5"/>
      <c r="B8" s="5"/>
      <c r="C8" s="10" t="s">
        <v>125</v>
      </c>
      <c r="D8" s="9"/>
      <c r="E8" s="46">
        <v>44140</v>
      </c>
      <c r="F8" s="196"/>
      <c r="G8" s="197" t="s">
        <v>61</v>
      </c>
      <c r="H8" s="202" t="s">
        <v>16</v>
      </c>
      <c r="I8" s="202" t="s">
        <v>17</v>
      </c>
      <c r="J8" s="217" t="s">
        <v>329</v>
      </c>
      <c r="K8" s="197"/>
      <c r="L8" s="197"/>
      <c r="M8" s="197"/>
      <c r="N8" s="197"/>
      <c r="O8" s="197"/>
      <c r="P8" s="197"/>
      <c r="Q8" s="197"/>
      <c r="R8" s="197"/>
      <c r="S8" s="138"/>
      <c r="T8" s="138"/>
      <c r="U8" s="138"/>
      <c r="V8" s="138"/>
      <c r="W8" s="138"/>
      <c r="X8" s="138"/>
    </row>
    <row r="9" spans="1:24" s="47" customFormat="1" ht="12.75">
      <c r="A9" s="5"/>
      <c r="B9" s="5"/>
      <c r="C9" s="10" t="s">
        <v>34</v>
      </c>
      <c r="D9" s="11">
        <v>29</v>
      </c>
      <c r="E9" s="8"/>
      <c r="F9" s="196"/>
      <c r="G9" s="197" t="s">
        <v>59</v>
      </c>
      <c r="H9" s="203" t="s">
        <v>3</v>
      </c>
      <c r="I9" s="203">
        <v>1</v>
      </c>
      <c r="J9" s="204" t="s">
        <v>328</v>
      </c>
      <c r="K9" s="197"/>
      <c r="L9" s="197"/>
      <c r="M9" s="197"/>
      <c r="N9" s="197"/>
      <c r="O9" s="197"/>
      <c r="P9" s="197"/>
      <c r="Q9" s="197"/>
      <c r="R9" s="197"/>
      <c r="S9" s="138"/>
      <c r="T9" s="138"/>
      <c r="U9" s="138"/>
      <c r="V9" s="138"/>
      <c r="W9" s="138"/>
      <c r="X9" s="138"/>
    </row>
    <row r="10" spans="1:10" ht="12.75">
      <c r="A10" s="12"/>
      <c r="B10" s="12"/>
      <c r="C10" s="10" t="s">
        <v>35</v>
      </c>
      <c r="D10" s="11">
        <v>41</v>
      </c>
      <c r="E10" s="8"/>
      <c r="G10" s="204" t="s">
        <v>60</v>
      </c>
      <c r="H10" s="203" t="s">
        <v>2</v>
      </c>
      <c r="I10" s="203">
        <v>2</v>
      </c>
      <c r="J10" s="204" t="s">
        <v>330</v>
      </c>
    </row>
    <row r="11" spans="1:14" ht="13.5" thickBot="1">
      <c r="A11" s="12"/>
      <c r="B11" s="12"/>
      <c r="C11" s="13"/>
      <c r="D11" s="14"/>
      <c r="G11" s="205"/>
      <c r="H11" s="203"/>
      <c r="I11" s="203" t="s">
        <v>256</v>
      </c>
      <c r="M11" s="197" t="s">
        <v>115</v>
      </c>
      <c r="N11" s="197"/>
    </row>
    <row r="12" spans="1:14" ht="18.75" thickBot="1">
      <c r="A12" s="17"/>
      <c r="B12" s="17"/>
      <c r="C12" s="48" t="s">
        <v>233</v>
      </c>
      <c r="D12" s="17"/>
      <c r="E12" s="98"/>
      <c r="F12" s="266"/>
      <c r="G12" s="204" t="s">
        <v>234</v>
      </c>
      <c r="H12" s="206" t="s">
        <v>42</v>
      </c>
      <c r="I12" s="206" t="s">
        <v>81</v>
      </c>
      <c r="L12" s="206" t="s">
        <v>138</v>
      </c>
      <c r="M12" s="206" t="s">
        <v>86</v>
      </c>
      <c r="N12" s="197" t="s">
        <v>116</v>
      </c>
    </row>
    <row r="13" spans="1:15" ht="15.75">
      <c r="A13" s="285">
        <v>1</v>
      </c>
      <c r="B13" s="285"/>
      <c r="C13" s="285" t="s">
        <v>305</v>
      </c>
      <c r="D13" s="285"/>
      <c r="E13" s="285"/>
      <c r="F13" s="285"/>
      <c r="G13" s="204" t="s">
        <v>235</v>
      </c>
      <c r="H13" s="203" t="s">
        <v>82</v>
      </c>
      <c r="I13" s="203" t="s">
        <v>83</v>
      </c>
      <c r="J13" s="207">
        <f>'School DATA'!D7</f>
        <v>44105</v>
      </c>
      <c r="L13" s="208">
        <f>COUNT(M13:M19)</f>
        <v>3</v>
      </c>
      <c r="M13" s="209">
        <f>IF(('School DATA'!D18&gt;10/10/2010),'School DATA'!D18,"")</f>
        <v>44095</v>
      </c>
      <c r="N13" s="210">
        <f>ROUND((IF((ISNUMBER(M13)),(D85/L13),"")),0)</f>
        <v>9514</v>
      </c>
      <c r="O13" s="210"/>
    </row>
    <row r="14" spans="1:14" ht="15.75">
      <c r="A14" s="167" t="s">
        <v>70</v>
      </c>
      <c r="B14" s="37"/>
      <c r="C14" s="49" t="s">
        <v>291</v>
      </c>
      <c r="D14" s="18"/>
      <c r="E14" s="174"/>
      <c r="F14" s="267"/>
      <c r="H14" s="203"/>
      <c r="I14" s="203" t="s">
        <v>84</v>
      </c>
      <c r="J14" s="207">
        <f>'School DATA'!D11</f>
        <v>44389</v>
      </c>
      <c r="L14" s="203" t="s">
        <v>112</v>
      </c>
      <c r="M14" s="209">
        <f>IF(('School DATA'!D19&gt;10/10/2010),'School DATA'!D19,"")</f>
        <v>44200</v>
      </c>
      <c r="N14" s="210">
        <f>ROUND((IF((ISNUMBER(M14)),(D85/L13),"")),0)</f>
        <v>9514</v>
      </c>
    </row>
    <row r="15" spans="1:14" ht="15.75">
      <c r="A15" s="168" t="s">
        <v>254</v>
      </c>
      <c r="B15" s="33"/>
      <c r="C15" s="49" t="s">
        <v>292</v>
      </c>
      <c r="D15" s="18"/>
      <c r="E15" s="174"/>
      <c r="F15" s="267"/>
      <c r="H15" s="203" t="s">
        <v>85</v>
      </c>
      <c r="I15" s="203" t="s">
        <v>83</v>
      </c>
      <c r="J15" s="207">
        <f>'School DATA'!D7</f>
        <v>44105</v>
      </c>
      <c r="L15" s="203" t="s">
        <v>113</v>
      </c>
      <c r="M15" s="209">
        <f>IF(('School DATA'!D20&gt;10/10/2010),'School DATA'!D20,"")</f>
        <v>44298</v>
      </c>
      <c r="N15" s="210">
        <f>ROUND((IF((ISNUMBER(M15)),(D85/L13),"")),0)</f>
        <v>9514</v>
      </c>
    </row>
    <row r="16" spans="1:15" ht="15">
      <c r="A16" s="169" t="s">
        <v>62</v>
      </c>
      <c r="B16" s="38"/>
      <c r="C16" s="56" t="s">
        <v>102</v>
      </c>
      <c r="D16" s="18"/>
      <c r="E16" s="174"/>
      <c r="F16" s="267"/>
      <c r="H16" s="203"/>
      <c r="I16" s="203" t="s">
        <v>84</v>
      </c>
      <c r="J16" s="207">
        <f>'School DATA'!E7</f>
        <v>44469</v>
      </c>
      <c r="L16" s="203" t="s">
        <v>114</v>
      </c>
      <c r="M16" s="209">
        <f>IF(('School DATA'!D21&gt;10/10/2010),'School DATA'!D21,"")</f>
      </c>
      <c r="N16" s="210">
        <f>IF((ISNUMBER(M16)),(ROUND((D85/L13),0)),"")</f>
      </c>
      <c r="O16" s="210"/>
    </row>
    <row r="17" spans="1:15" ht="15">
      <c r="A17" s="169" t="s">
        <v>63</v>
      </c>
      <c r="B17" s="38"/>
      <c r="C17" s="56" t="s">
        <v>103</v>
      </c>
      <c r="D17" s="18"/>
      <c r="E17" s="174"/>
      <c r="F17" s="267"/>
      <c r="G17" s="204" t="s">
        <v>275</v>
      </c>
      <c r="N17" s="210">
        <f>SUM(N13:N16)</f>
        <v>28542</v>
      </c>
      <c r="O17" s="210"/>
    </row>
    <row r="18" spans="1:7" ht="15">
      <c r="A18" s="169" t="s">
        <v>64</v>
      </c>
      <c r="B18" s="38"/>
      <c r="C18" s="56" t="s">
        <v>104</v>
      </c>
      <c r="D18" s="18"/>
      <c r="E18" s="174"/>
      <c r="F18" s="267"/>
      <c r="G18" s="204" t="s">
        <v>276</v>
      </c>
    </row>
    <row r="19" spans="1:7" ht="15">
      <c r="A19" s="169" t="s">
        <v>65</v>
      </c>
      <c r="B19" s="38"/>
      <c r="C19" s="56" t="s">
        <v>105</v>
      </c>
      <c r="D19" s="18"/>
      <c r="E19" s="174"/>
      <c r="F19" s="267"/>
      <c r="G19" s="204" t="s">
        <v>277</v>
      </c>
    </row>
    <row r="20" spans="1:11" ht="15.75">
      <c r="A20" s="167" t="s">
        <v>66</v>
      </c>
      <c r="B20" s="22"/>
      <c r="C20" s="56" t="s">
        <v>141</v>
      </c>
      <c r="D20" s="18"/>
      <c r="E20" s="174"/>
      <c r="F20" s="267"/>
      <c r="G20" s="204" t="s">
        <v>278</v>
      </c>
      <c r="K20" s="206"/>
    </row>
    <row r="21" spans="1:11" ht="15">
      <c r="A21" s="167" t="s">
        <v>67</v>
      </c>
      <c r="B21" s="22"/>
      <c r="C21" s="57" t="s">
        <v>142</v>
      </c>
      <c r="D21" s="18"/>
      <c r="E21" s="174"/>
      <c r="F21" s="267"/>
      <c r="G21" s="197" t="s">
        <v>262</v>
      </c>
      <c r="H21" s="197" t="s">
        <v>262</v>
      </c>
      <c r="I21" s="197" t="s">
        <v>279</v>
      </c>
      <c r="K21" s="197" t="s">
        <v>127</v>
      </c>
    </row>
    <row r="22" spans="1:17" ht="15.75">
      <c r="A22" s="167" t="s">
        <v>68</v>
      </c>
      <c r="B22" s="22"/>
      <c r="C22" s="58">
        <v>19358</v>
      </c>
      <c r="D22" s="18"/>
      <c r="E22" s="174"/>
      <c r="F22" s="267"/>
      <c r="G22" s="211" t="s">
        <v>5</v>
      </c>
      <c r="H22" s="212" t="s">
        <v>37</v>
      </c>
      <c r="I22" s="212" t="s">
        <v>38</v>
      </c>
      <c r="J22" s="213"/>
      <c r="K22" s="213" t="s">
        <v>5</v>
      </c>
      <c r="L22" s="212" t="s">
        <v>37</v>
      </c>
      <c r="M22" s="212" t="s">
        <v>38</v>
      </c>
      <c r="N22" s="212"/>
      <c r="O22" s="213"/>
      <c r="P22" s="213"/>
      <c r="Q22" s="213"/>
    </row>
    <row r="23" spans="1:17" ht="15.75">
      <c r="A23" s="168" t="s">
        <v>69</v>
      </c>
      <c r="B23" s="33"/>
      <c r="C23" s="50" t="s">
        <v>106</v>
      </c>
      <c r="D23" s="18"/>
      <c r="E23" s="174"/>
      <c r="F23" s="267"/>
      <c r="G23" s="214">
        <f>IF(D34="Y",0,K23)</f>
        <v>0</v>
      </c>
      <c r="H23" s="214">
        <f>IF((D34="N"),K23,0)</f>
        <v>0</v>
      </c>
      <c r="I23" s="215">
        <f>IF((D34="N"),M23,0)</f>
        <v>0</v>
      </c>
      <c r="J23" s="204" t="s">
        <v>6</v>
      </c>
      <c r="K23" s="204">
        <v>0</v>
      </c>
      <c r="L23" s="213">
        <v>0</v>
      </c>
      <c r="M23" s="204">
        <v>20500</v>
      </c>
      <c r="O23" s="213"/>
      <c r="P23" s="213"/>
      <c r="Q23" s="213"/>
    </row>
    <row r="24" spans="1:24" s="107" customFormat="1" ht="15">
      <c r="A24" s="167" t="s">
        <v>4</v>
      </c>
      <c r="B24" s="37"/>
      <c r="C24" s="51" t="s">
        <v>282</v>
      </c>
      <c r="D24" s="18"/>
      <c r="E24" s="174"/>
      <c r="F24" s="267"/>
      <c r="G24" s="214">
        <f>IF((AND(D34="Y",D35="N",D37=1)),K24,0)</f>
        <v>3500</v>
      </c>
      <c r="H24" s="204">
        <f>IF((AND(D34="Y",D38="D",D37=1)),L24,0)</f>
        <v>2000</v>
      </c>
      <c r="I24" s="204">
        <f>IF((AND(D34="Y",D38="I",D37=1)),M24,0)</f>
        <v>0</v>
      </c>
      <c r="J24" s="204" t="s">
        <v>7</v>
      </c>
      <c r="K24" s="204">
        <v>3500</v>
      </c>
      <c r="L24" s="204">
        <v>2000</v>
      </c>
      <c r="M24" s="204">
        <v>6000</v>
      </c>
      <c r="N24" s="204"/>
      <c r="O24" s="213"/>
      <c r="P24" s="213"/>
      <c r="Q24" s="213"/>
      <c r="R24" s="213"/>
      <c r="S24" s="140"/>
      <c r="T24" s="140"/>
      <c r="U24" s="140"/>
      <c r="V24" s="140"/>
      <c r="W24" s="140"/>
      <c r="X24" s="140"/>
    </row>
    <row r="25" spans="1:24" s="107" customFormat="1" ht="15">
      <c r="A25" s="167" t="s">
        <v>263</v>
      </c>
      <c r="B25" s="37"/>
      <c r="C25" s="51" t="s">
        <v>265</v>
      </c>
      <c r="D25" s="18"/>
      <c r="E25" s="174"/>
      <c r="F25" s="266"/>
      <c r="G25" s="214">
        <f>IF((AND(D34="Y",D35="N",D37=2)),K25,0)</f>
        <v>0</v>
      </c>
      <c r="H25" s="204">
        <f>IF((AND(D34="Y",D38="D",D37=2)),L25,0)</f>
        <v>0</v>
      </c>
      <c r="I25" s="204">
        <f>IF((AND(D34="Y",D38="I",D37=2)),M25,0)</f>
        <v>0</v>
      </c>
      <c r="J25" s="204" t="s">
        <v>8</v>
      </c>
      <c r="K25" s="204">
        <v>4500</v>
      </c>
      <c r="L25" s="204">
        <v>2000</v>
      </c>
      <c r="M25" s="204">
        <v>6000</v>
      </c>
      <c r="N25" s="204"/>
      <c r="O25" s="204"/>
      <c r="P25" s="204"/>
      <c r="Q25" s="204"/>
      <c r="R25" s="213"/>
      <c r="S25" s="140"/>
      <c r="T25" s="140"/>
      <c r="U25" s="140"/>
      <c r="V25" s="140"/>
      <c r="W25" s="140"/>
      <c r="X25" s="140"/>
    </row>
    <row r="26" spans="1:24" s="107" customFormat="1" ht="15.75">
      <c r="A26" s="281">
        <v>2</v>
      </c>
      <c r="B26" s="281"/>
      <c r="C26" s="281" t="s">
        <v>304</v>
      </c>
      <c r="D26" s="281"/>
      <c r="E26" s="281"/>
      <c r="F26" s="281"/>
      <c r="G26" s="214">
        <f>IF((AND(D34="Y",D35="N",D37&gt;2)),K26,0)</f>
        <v>0</v>
      </c>
      <c r="H26" s="204">
        <f>IF((AND(D34="Y",D38="D",D37&gt;2)),L26,0)</f>
        <v>0</v>
      </c>
      <c r="I26" s="204">
        <f>IF((AND(D34="Y",D38="I",D37&gt;2)),M26,0)</f>
        <v>0</v>
      </c>
      <c r="J26" s="204" t="s">
        <v>18</v>
      </c>
      <c r="K26" s="204">
        <v>5500</v>
      </c>
      <c r="L26" s="204">
        <v>2000</v>
      </c>
      <c r="M26" s="204">
        <v>7000</v>
      </c>
      <c r="N26" s="204"/>
      <c r="O26" s="204"/>
      <c r="P26" s="204"/>
      <c r="Q26" s="204"/>
      <c r="R26" s="213"/>
      <c r="S26" s="140"/>
      <c r="T26" s="140"/>
      <c r="U26" s="140"/>
      <c r="V26" s="140"/>
      <c r="W26" s="140"/>
      <c r="X26" s="140"/>
    </row>
    <row r="27" spans="1:13" ht="15.75">
      <c r="A27" s="182"/>
      <c r="B27" s="182"/>
      <c r="C27" s="305" t="s">
        <v>299</v>
      </c>
      <c r="D27" s="282" t="s">
        <v>2</v>
      </c>
      <c r="E27" s="174"/>
      <c r="F27" s="266"/>
      <c r="G27" s="214">
        <f>IF((AND(D34="Y",D35="Y",D36="Y")),K27,0)</f>
        <v>0</v>
      </c>
      <c r="H27" s="204">
        <f>IF((AND(D34="Y",D35="Y",D36="Y")),I27,0)</f>
        <v>0</v>
      </c>
      <c r="I27" s="215">
        <f>IF((AND(D34="Y",D35="Y",D36="Y")),M27,0)</f>
        <v>0</v>
      </c>
      <c r="J27" s="204" t="s">
        <v>357</v>
      </c>
      <c r="K27" s="204">
        <f>K23</f>
        <v>0</v>
      </c>
      <c r="L27" s="204">
        <f>L23</f>
        <v>0</v>
      </c>
      <c r="M27" s="204">
        <f>M23</f>
        <v>20500</v>
      </c>
    </row>
    <row r="28" spans="1:12" ht="15.75">
      <c r="A28" s="182"/>
      <c r="B28" s="182"/>
      <c r="C28" s="305" t="s">
        <v>301</v>
      </c>
      <c r="D28" s="282" t="s">
        <v>3</v>
      </c>
      <c r="E28" s="174"/>
      <c r="F28" s="266"/>
      <c r="G28" s="214">
        <f>MAX(G23:G27)</f>
        <v>3500</v>
      </c>
      <c r="H28" s="215"/>
      <c r="I28" s="215">
        <f>MAX(H23:I27)</f>
        <v>2000</v>
      </c>
      <c r="J28" s="197" t="s">
        <v>31</v>
      </c>
      <c r="K28" s="197"/>
      <c r="L28" s="197" t="s">
        <v>358</v>
      </c>
    </row>
    <row r="29" spans="1:11" ht="15.75">
      <c r="A29" s="182"/>
      <c r="B29" s="182"/>
      <c r="C29" s="305" t="s">
        <v>300</v>
      </c>
      <c r="D29" s="282" t="s">
        <v>3</v>
      </c>
      <c r="E29" s="174"/>
      <c r="F29" s="266"/>
      <c r="G29" s="216"/>
      <c r="K29" s="197"/>
    </row>
    <row r="30" spans="1:12" ht="18">
      <c r="A30" s="182"/>
      <c r="B30" s="362">
        <f>IF((D29="Y"),"4","")</f>
      </c>
      <c r="C30" s="306">
        <f>IF((D29="Y"),"Answer the questions 14-18 then proceed directly to Section 7","")</f>
      </c>
      <c r="D30" s="52" t="s">
        <v>3</v>
      </c>
      <c r="E30" s="174"/>
      <c r="F30" s="266"/>
      <c r="G30" s="216"/>
      <c r="H30" s="197" t="s">
        <v>128</v>
      </c>
      <c r="L30" s="217"/>
    </row>
    <row r="31" spans="1:11" ht="18">
      <c r="A31" s="182"/>
      <c r="B31" s="182">
        <f>IF((D31="Y"),1,0)</f>
        <v>0</v>
      </c>
      <c r="C31" s="159" t="s">
        <v>293</v>
      </c>
      <c r="D31" s="52" t="s">
        <v>3</v>
      </c>
      <c r="E31" s="175">
        <f>IF((D31="Y"),"PRIVATE LOANS ONLY","")</f>
      </c>
      <c r="F31" s="266"/>
      <c r="G31" s="216" t="s">
        <v>36</v>
      </c>
      <c r="H31" s="218" t="s">
        <v>10</v>
      </c>
      <c r="I31" s="218" t="s">
        <v>11</v>
      </c>
      <c r="J31" s="197" t="s">
        <v>9</v>
      </c>
      <c r="K31" s="197"/>
    </row>
    <row r="32" spans="1:11" ht="15">
      <c r="A32" s="182"/>
      <c r="B32" s="182"/>
      <c r="C32" s="20" t="s">
        <v>290</v>
      </c>
      <c r="D32" s="52" t="s">
        <v>3</v>
      </c>
      <c r="E32" s="180">
        <f>IF((D32="Y"),"For school codes - click below","")</f>
      </c>
      <c r="F32" s="266"/>
      <c r="G32" s="219">
        <f>D7</f>
        <v>1.4</v>
      </c>
      <c r="H32" s="215">
        <f>D40*G32</f>
        <v>0</v>
      </c>
      <c r="I32" s="215">
        <f>E40</f>
        <v>0</v>
      </c>
      <c r="J32" s="197" t="s">
        <v>12</v>
      </c>
      <c r="K32" s="204" t="s">
        <v>313</v>
      </c>
    </row>
    <row r="33" spans="1:11" ht="12.75">
      <c r="A33" s="182"/>
      <c r="B33" s="182">
        <f>IF((D33="N"),1,0)</f>
        <v>0</v>
      </c>
      <c r="C33" s="20" t="str">
        <f>IF((D32="Y"),"Is that school in the List of federal School Codes at the website link now showing in red box","do not adjust this line")</f>
        <v>do not adjust this line</v>
      </c>
      <c r="D33" s="52" t="s">
        <v>2</v>
      </c>
      <c r="E33" s="184">
        <f>IF((D32="Y"),"https://ifap.ed.gov/ilibrary/document-types/federal-school-code-list","")</f>
      </c>
      <c r="F33" s="268"/>
      <c r="G33" s="216">
        <f>G32</f>
        <v>1.4</v>
      </c>
      <c r="H33" s="215">
        <f>D41*G33</f>
        <v>0</v>
      </c>
      <c r="I33" s="215">
        <f>E41</f>
        <v>0</v>
      </c>
      <c r="J33" s="204" t="s">
        <v>13</v>
      </c>
      <c r="K33" s="204" t="s">
        <v>312</v>
      </c>
    </row>
    <row r="34" spans="1:11" ht="12.75">
      <c r="A34" s="182">
        <f>IF((D34="Y"),1,2)</f>
        <v>1</v>
      </c>
      <c r="B34" s="182"/>
      <c r="C34" s="19" t="s">
        <v>288</v>
      </c>
      <c r="D34" s="52" t="s">
        <v>2</v>
      </c>
      <c r="E34" s="192">
        <f>IF((D33="n"),"PRIVATE LOANS ONLY","")</f>
      </c>
      <c r="F34" s="266"/>
      <c r="G34" s="216">
        <f>G33</f>
        <v>1.4</v>
      </c>
      <c r="H34" s="215">
        <f>D42*G34</f>
        <v>0</v>
      </c>
      <c r="I34" s="215">
        <f>E42</f>
        <v>0</v>
      </c>
      <c r="J34" s="204" t="s">
        <v>14</v>
      </c>
      <c r="K34" s="204" t="s">
        <v>312</v>
      </c>
    </row>
    <row r="35" spans="1:11" ht="12.75">
      <c r="A35" s="182">
        <f>IF((D35="N"),1,2)</f>
        <v>1</v>
      </c>
      <c r="B35" s="182"/>
      <c r="C35" s="124" t="str">
        <f>IF(D34="N","Do not adjust this line","Are you taking an undergraduate course but at graduate/professional level? Only answer Y or N")</f>
        <v>Are you taking an undergraduate course but at graduate/professional level? Only answer Y or N</v>
      </c>
      <c r="D35" s="52" t="s">
        <v>3</v>
      </c>
      <c r="E35" s="98"/>
      <c r="F35" s="266"/>
      <c r="G35" s="216">
        <f>G34</f>
        <v>1.4</v>
      </c>
      <c r="H35" s="215">
        <f>D43*G35</f>
        <v>0</v>
      </c>
      <c r="I35" s="215">
        <f>E43</f>
        <v>0</v>
      </c>
      <c r="J35" s="204" t="s">
        <v>40</v>
      </c>
      <c r="K35" s="204" t="s">
        <v>312</v>
      </c>
    </row>
    <row r="36" spans="1:11" ht="12.75">
      <c r="A36" s="181"/>
      <c r="B36" s="182"/>
      <c r="C36" s="125" t="str">
        <f>IF((AND(D34="Y",D35="Y")),"Do you already have another undergraduate degree - answer Y or N","Do not adjust this line")</f>
        <v>Do not adjust this line</v>
      </c>
      <c r="D36" s="52" t="s">
        <v>3</v>
      </c>
      <c r="E36" s="98"/>
      <c r="F36" s="266"/>
      <c r="G36" s="216">
        <f>G34</f>
        <v>1.4</v>
      </c>
      <c r="H36" s="215">
        <f>D44*G36</f>
        <v>0</v>
      </c>
      <c r="I36" s="215">
        <f>E44</f>
        <v>0</v>
      </c>
      <c r="J36" s="204" t="s">
        <v>41</v>
      </c>
      <c r="K36" s="204" t="s">
        <v>312</v>
      </c>
    </row>
    <row r="37" spans="1:24" s="107" customFormat="1" ht="15" customHeight="1">
      <c r="A37" s="181"/>
      <c r="B37" s="182"/>
      <c r="C37" s="125" t="s">
        <v>289</v>
      </c>
      <c r="D37" s="53">
        <v>1</v>
      </c>
      <c r="E37" s="98"/>
      <c r="F37" s="266"/>
      <c r="G37" s="220"/>
      <c r="H37" s="221"/>
      <c r="I37" s="222">
        <f>SUM(H33:I36)</f>
        <v>0</v>
      </c>
      <c r="J37" s="206" t="s">
        <v>39</v>
      </c>
      <c r="K37" s="206"/>
      <c r="L37" s="213"/>
      <c r="M37" s="213"/>
      <c r="N37" s="213"/>
      <c r="O37" s="213"/>
      <c r="P37" s="213"/>
      <c r="Q37" s="213"/>
      <c r="R37" s="213"/>
      <c r="S37" s="140"/>
      <c r="T37" s="140"/>
      <c r="U37" s="140"/>
      <c r="V37" s="140"/>
      <c r="W37" s="140"/>
      <c r="X37" s="140"/>
    </row>
    <row r="38" spans="1:9" ht="14.25" customHeight="1">
      <c r="A38" s="181"/>
      <c r="B38" s="182"/>
      <c r="C38" s="19" t="s">
        <v>93</v>
      </c>
      <c r="D38" s="52" t="s">
        <v>60</v>
      </c>
      <c r="E38" s="98"/>
      <c r="F38" s="266"/>
      <c r="G38" s="216"/>
      <c r="I38" s="215"/>
    </row>
    <row r="39" spans="1:8" ht="12.75">
      <c r="A39" s="181"/>
      <c r="B39" s="182"/>
      <c r="C39" s="19" t="s">
        <v>0</v>
      </c>
      <c r="D39" s="54">
        <v>0</v>
      </c>
      <c r="E39" s="176"/>
      <c r="F39" s="266"/>
      <c r="G39" s="216"/>
      <c r="H39" s="197" t="s">
        <v>129</v>
      </c>
    </row>
    <row r="40" spans="1:13" ht="12.75">
      <c r="A40" s="181"/>
      <c r="B40" s="362">
        <f>IF((D29="Y"),"14","")</f>
      </c>
      <c r="C40" s="19" t="s">
        <v>231</v>
      </c>
      <c r="D40" s="55">
        <v>0</v>
      </c>
      <c r="E40" s="176"/>
      <c r="F40" s="269"/>
      <c r="G40" s="216" t="s">
        <v>15</v>
      </c>
      <c r="H40" s="214" t="s">
        <v>29</v>
      </c>
      <c r="I40" s="214" t="s">
        <v>30</v>
      </c>
      <c r="J40" s="204" t="s">
        <v>28</v>
      </c>
      <c r="K40" s="204" t="s">
        <v>308</v>
      </c>
      <c r="L40" s="204" t="s">
        <v>36</v>
      </c>
      <c r="M40" s="204" t="s">
        <v>311</v>
      </c>
    </row>
    <row r="41" spans="1:14" ht="12.75">
      <c r="A41" s="181"/>
      <c r="B41" s="362">
        <f>IF((D29="Y"),"15","")</f>
      </c>
      <c r="C41" s="21" t="s">
        <v>251</v>
      </c>
      <c r="D41" s="55">
        <v>0</v>
      </c>
      <c r="E41" s="177">
        <v>0</v>
      </c>
      <c r="F41" s="269"/>
      <c r="G41" s="216">
        <f>D9</f>
        <v>29</v>
      </c>
      <c r="H41" s="215">
        <f>ROUND((M41*L41*G41),0)</f>
        <v>13804</v>
      </c>
      <c r="I41" s="215">
        <f>ROUND((M41*L41*J41),0)</f>
        <v>19516</v>
      </c>
      <c r="J41" s="223">
        <f>D10</f>
        <v>41</v>
      </c>
      <c r="K41" s="307" t="str">
        <f>IF(((MAX(A34:A35))&gt;1),"P","U")</f>
        <v>U</v>
      </c>
      <c r="L41" s="224">
        <f>G32</f>
        <v>1.4</v>
      </c>
      <c r="M41" s="204">
        <f>'School DATA'!I11</f>
        <v>340</v>
      </c>
      <c r="N41" s="204" t="s">
        <v>24</v>
      </c>
    </row>
    <row r="42" spans="1:14" ht="12.75">
      <c r="A42" s="181"/>
      <c r="B42" s="362">
        <f>IF((D29="Y"),"16","")</f>
      </c>
      <c r="C42" s="21" t="s">
        <v>264</v>
      </c>
      <c r="D42" s="55">
        <v>0</v>
      </c>
      <c r="E42" s="178"/>
      <c r="F42" s="270"/>
      <c r="G42" s="216">
        <f>D9</f>
        <v>29</v>
      </c>
      <c r="H42" s="215">
        <f>ROUND((M42*L42*G42),0)</f>
        <v>4466</v>
      </c>
      <c r="I42" s="215">
        <f>ROUND((M42*L42*J42),0)</f>
        <v>6314</v>
      </c>
      <c r="J42" s="223">
        <f aca="true" t="shared" si="0" ref="J42:L45">J41</f>
        <v>41</v>
      </c>
      <c r="K42" s="307" t="str">
        <f t="shared" si="0"/>
        <v>U</v>
      </c>
      <c r="L42" s="224">
        <f t="shared" si="0"/>
        <v>1.4</v>
      </c>
      <c r="M42" s="204">
        <f>'School DATA'!I13</f>
        <v>110</v>
      </c>
      <c r="N42" s="204" t="s">
        <v>25</v>
      </c>
    </row>
    <row r="43" spans="1:14" ht="12.75">
      <c r="A43" s="308"/>
      <c r="B43" s="362">
        <f>IF((D29="Y"),"17","")</f>
      </c>
      <c r="C43" s="19" t="s">
        <v>252</v>
      </c>
      <c r="D43" s="55">
        <v>0</v>
      </c>
      <c r="E43" s="178"/>
      <c r="F43" s="270"/>
      <c r="G43" s="216">
        <f>G42</f>
        <v>29</v>
      </c>
      <c r="H43" s="215">
        <f>ROUND((M43*L43*G43),0)</f>
        <v>812</v>
      </c>
      <c r="I43" s="215">
        <f>ROUND((M43*L43*J43),0)</f>
        <v>1148</v>
      </c>
      <c r="J43" s="223">
        <f t="shared" si="0"/>
        <v>41</v>
      </c>
      <c r="K43" s="307" t="str">
        <f t="shared" si="0"/>
        <v>U</v>
      </c>
      <c r="L43" s="224">
        <f t="shared" si="0"/>
        <v>1.4</v>
      </c>
      <c r="M43" s="204">
        <f>'School DATA'!H14</f>
        <v>20</v>
      </c>
      <c r="N43" s="204" t="s">
        <v>26</v>
      </c>
    </row>
    <row r="44" spans="1:14" ht="12.75">
      <c r="A44" s="185" t="s">
        <v>287</v>
      </c>
      <c r="B44" s="362">
        <f>IF((D29="Y"),"18","")</f>
      </c>
      <c r="C44" s="19" t="s">
        <v>253</v>
      </c>
      <c r="D44" s="179"/>
      <c r="E44" s="177">
        <v>0</v>
      </c>
      <c r="F44" s="270"/>
      <c r="G44" s="216">
        <f>G43</f>
        <v>29</v>
      </c>
      <c r="H44" s="215">
        <f>ROUND((M44*L44*G44),0)</f>
        <v>1421</v>
      </c>
      <c r="I44" s="215">
        <f>ROUND((M44*L44*J44),0)</f>
        <v>2009</v>
      </c>
      <c r="J44" s="223">
        <f t="shared" si="0"/>
        <v>41</v>
      </c>
      <c r="K44" s="307" t="str">
        <f t="shared" si="0"/>
        <v>U</v>
      </c>
      <c r="L44" s="224">
        <f t="shared" si="0"/>
        <v>1.4</v>
      </c>
      <c r="M44" s="204">
        <f>'School DATA'!H15</f>
        <v>35</v>
      </c>
      <c r="N44" s="204" t="s">
        <v>27</v>
      </c>
    </row>
    <row r="45" spans="1:14" ht="15.75">
      <c r="A45" s="182">
        <f>SUM(B31:B45)</f>
        <v>0</v>
      </c>
      <c r="B45" s="187">
        <f>IF((D29="Y"),1,0)</f>
        <v>0</v>
      </c>
      <c r="E45" s="183">
        <f>IF((A45&gt;0),"PRIVATE LOANS ONLY","")</f>
      </c>
      <c r="F45" s="270"/>
      <c r="G45" s="216">
        <f>G44</f>
        <v>29</v>
      </c>
      <c r="H45" s="215">
        <f>ROUND((M45*L45*G45),0)</f>
        <v>3654</v>
      </c>
      <c r="I45" s="215">
        <f>ROUND((M45*L45*J45),0)</f>
        <v>5166</v>
      </c>
      <c r="J45" s="223">
        <f t="shared" si="0"/>
        <v>41</v>
      </c>
      <c r="K45" s="307" t="str">
        <f t="shared" si="0"/>
        <v>U</v>
      </c>
      <c r="L45" s="224">
        <f t="shared" si="0"/>
        <v>1.4</v>
      </c>
      <c r="M45" s="204">
        <f>'School DATA'!H13</f>
        <v>90</v>
      </c>
      <c r="N45" s="204" t="s">
        <v>1</v>
      </c>
    </row>
    <row r="46" spans="1:14" ht="18">
      <c r="A46" s="286">
        <v>3</v>
      </c>
      <c r="B46" s="287"/>
      <c r="C46" s="288" t="str">
        <f>G58</f>
        <v>Your Cost of Attendance (Values rounded)</v>
      </c>
      <c r="D46" s="289" t="str">
        <f>H59</f>
        <v>$</v>
      </c>
      <c r="E46" s="290"/>
      <c r="F46" s="269"/>
      <c r="G46" s="216"/>
      <c r="H46" s="215"/>
      <c r="I46" s="215"/>
      <c r="J46" s="223"/>
      <c r="K46" s="307">
        <f>M46*L46</f>
        <v>1143.8</v>
      </c>
      <c r="L46" s="224">
        <f>L45</f>
        <v>1.4</v>
      </c>
      <c r="M46" s="204">
        <f>'School DATA'!I19</f>
        <v>817</v>
      </c>
      <c r="N46" s="316" t="s">
        <v>322</v>
      </c>
    </row>
    <row r="47" spans="1:14" ht="20.25">
      <c r="A47" s="166"/>
      <c r="B47" s="36"/>
      <c r="C47" s="291" t="str">
        <f>G60</f>
        <v>Tuition Fees</v>
      </c>
      <c r="D47" s="337">
        <f>H60</f>
        <v>0</v>
      </c>
      <c r="E47" s="25"/>
      <c r="F47" s="271"/>
      <c r="H47" s="215"/>
      <c r="I47" s="215"/>
      <c r="K47" s="307">
        <f>M47*L47</f>
        <v>2209.2</v>
      </c>
      <c r="L47" s="224">
        <f>L46</f>
        <v>1.4</v>
      </c>
      <c r="M47" s="204">
        <f>'School DATA'!I22</f>
        <v>1578</v>
      </c>
      <c r="N47" s="204" t="s">
        <v>323</v>
      </c>
    </row>
    <row r="48" spans="1:11" ht="20.25">
      <c r="A48" s="166"/>
      <c r="B48" s="36"/>
      <c r="C48" s="291" t="str">
        <f aca="true" t="shared" si="1" ref="C48:C58">G61</f>
        <v>Room</v>
      </c>
      <c r="D48" s="337">
        <f aca="true" t="shared" si="2" ref="D48:D56">H61</f>
        <v>13804</v>
      </c>
      <c r="E48" s="25"/>
      <c r="F48" s="272"/>
      <c r="H48" s="325" t="s">
        <v>341</v>
      </c>
      <c r="I48" s="215"/>
      <c r="K48" s="195" t="s">
        <v>78</v>
      </c>
    </row>
    <row r="49" spans="1:15" ht="15">
      <c r="A49" s="166"/>
      <c r="B49" s="36"/>
      <c r="C49" s="291" t="str">
        <f t="shared" si="1"/>
        <v>Board</v>
      </c>
      <c r="D49" s="337">
        <f t="shared" si="2"/>
        <v>4466</v>
      </c>
      <c r="E49" s="25"/>
      <c r="F49" s="272"/>
      <c r="G49" s="224">
        <f>D7</f>
        <v>1.4</v>
      </c>
      <c r="H49" s="347" t="s">
        <v>344</v>
      </c>
      <c r="I49" s="346">
        <f>IF((E62="Allow"),D62*G49,0)</f>
        <v>0</v>
      </c>
      <c r="L49" s="204" t="s">
        <v>80</v>
      </c>
      <c r="M49" s="204" t="s">
        <v>117</v>
      </c>
      <c r="N49" s="204" t="s">
        <v>124</v>
      </c>
      <c r="O49" s="204" t="s">
        <v>119</v>
      </c>
    </row>
    <row r="50" spans="1:15" ht="15">
      <c r="A50" s="166"/>
      <c r="B50" s="36"/>
      <c r="C50" s="291" t="str">
        <f t="shared" si="1"/>
        <v>Books</v>
      </c>
      <c r="D50" s="337">
        <f t="shared" si="2"/>
        <v>812</v>
      </c>
      <c r="E50" s="25"/>
      <c r="F50" s="272"/>
      <c r="G50" s="204">
        <f>G49</f>
        <v>1.4</v>
      </c>
      <c r="H50" s="347" t="s">
        <v>345</v>
      </c>
      <c r="I50" s="346">
        <f>IF((E63="Allow"),D63*G50,0)</f>
        <v>0</v>
      </c>
      <c r="K50" s="204" t="s">
        <v>79</v>
      </c>
      <c r="M50" s="204" t="s">
        <v>118</v>
      </c>
      <c r="N50" s="204" t="s">
        <v>36</v>
      </c>
      <c r="O50" s="204" t="s">
        <v>120</v>
      </c>
    </row>
    <row r="51" spans="1:15" ht="15">
      <c r="A51" s="166"/>
      <c r="B51" s="36"/>
      <c r="C51" s="291" t="str">
        <f t="shared" si="1"/>
        <v>Travel</v>
      </c>
      <c r="D51" s="337">
        <f t="shared" si="2"/>
        <v>1421</v>
      </c>
      <c r="E51" s="25"/>
      <c r="F51" s="272"/>
      <c r="G51" s="204">
        <f>G50</f>
        <v>1.4</v>
      </c>
      <c r="H51" s="347" t="s">
        <v>346</v>
      </c>
      <c r="I51" s="346">
        <f>IF((E64="Allow"),D64*G51,0)</f>
        <v>0</v>
      </c>
      <c r="K51" s="204" t="s">
        <v>135</v>
      </c>
      <c r="L51" s="225">
        <f>'School DATA'!D38</f>
        <v>1.057</v>
      </c>
      <c r="M51" s="225">
        <f>'School DATA'!E38</f>
        <v>0</v>
      </c>
      <c r="N51" s="225">
        <f>L51-M51</f>
        <v>1.057</v>
      </c>
      <c r="O51" s="226">
        <f>N51*0.01</f>
        <v>0.01057</v>
      </c>
    </row>
    <row r="52" spans="1:15" ht="15">
      <c r="A52" s="166"/>
      <c r="B52" s="36"/>
      <c r="C52" s="291" t="str">
        <f t="shared" si="1"/>
        <v>Personal</v>
      </c>
      <c r="D52" s="337">
        <f t="shared" si="2"/>
        <v>3654</v>
      </c>
      <c r="E52" s="25"/>
      <c r="F52" s="272"/>
      <c r="G52" s="204">
        <f>G51</f>
        <v>1.4</v>
      </c>
      <c r="H52" s="347" t="s">
        <v>347</v>
      </c>
      <c r="I52" s="346">
        <f>IF((E65="Allow"),D65*G52,0)</f>
        <v>0</v>
      </c>
      <c r="K52" s="204" t="s">
        <v>136</v>
      </c>
      <c r="L52" s="225">
        <f>'School DATA'!D39</f>
        <v>1.057</v>
      </c>
      <c r="M52" s="225">
        <f>'School DATA'!E39</f>
        <v>0</v>
      </c>
      <c r="N52" s="225">
        <f>L52-M52</f>
        <v>1.057</v>
      </c>
      <c r="O52" s="226">
        <f>N52*0.01</f>
        <v>0.01057</v>
      </c>
    </row>
    <row r="53" spans="1:15" ht="15">
      <c r="A53" s="166"/>
      <c r="B53" s="36"/>
      <c r="C53" s="292" t="str">
        <f t="shared" si="1"/>
        <v>Essential flights + health for all years (plus visa and laptop if 1st year)</v>
      </c>
      <c r="D53" s="338">
        <f t="shared" si="2"/>
        <v>3353</v>
      </c>
      <c r="E53" s="25"/>
      <c r="F53" s="272"/>
      <c r="G53" s="204">
        <f>G52</f>
        <v>1.4</v>
      </c>
      <c r="H53" s="215"/>
      <c r="I53" s="215"/>
      <c r="K53" s="204" t="s">
        <v>137</v>
      </c>
      <c r="L53" s="225">
        <f>'School DATA'!D40</f>
        <v>4.228</v>
      </c>
      <c r="M53" s="225">
        <f>'School DATA'!E40</f>
        <v>0</v>
      </c>
      <c r="N53" s="225">
        <f>L53-M53</f>
        <v>4.228</v>
      </c>
      <c r="O53" s="226">
        <f>N53*0.01</f>
        <v>0.04228</v>
      </c>
    </row>
    <row r="54" spans="1:9" ht="15.75">
      <c r="A54" s="166"/>
      <c r="B54" s="36"/>
      <c r="C54" s="340" t="str">
        <f t="shared" si="1"/>
        <v>Total Cost of Attendance</v>
      </c>
      <c r="D54" s="341">
        <f t="shared" si="2"/>
        <v>27510</v>
      </c>
      <c r="E54" s="26"/>
      <c r="F54" s="272"/>
      <c r="G54" s="204">
        <f>G53</f>
        <v>1.4</v>
      </c>
      <c r="H54" s="215" t="s">
        <v>348</v>
      </c>
      <c r="I54" s="357">
        <f>SUM(I49:I53)</f>
        <v>0</v>
      </c>
    </row>
    <row r="55" spans="1:9" ht="16.5" thickBot="1">
      <c r="A55" s="166"/>
      <c r="B55" s="36"/>
      <c r="C55" s="293" t="str">
        <f t="shared" si="1"/>
        <v>Adjust for Sponsorship, Awards or other Aid</v>
      </c>
      <c r="D55" s="339">
        <f t="shared" si="2"/>
        <v>0</v>
      </c>
      <c r="E55" s="25"/>
      <c r="F55" s="273"/>
      <c r="H55" s="215"/>
      <c r="I55" s="215"/>
    </row>
    <row r="56" spans="1:8" ht="15.75" thickTop="1">
      <c r="A56" s="166"/>
      <c r="B56" s="36"/>
      <c r="C56" s="333" t="str">
        <f t="shared" si="1"/>
        <v>Total Cost of Attendance</v>
      </c>
      <c r="D56" s="334">
        <f t="shared" si="2"/>
        <v>27510</v>
      </c>
      <c r="E56" s="25"/>
      <c r="F56" s="272"/>
      <c r="H56" s="215"/>
    </row>
    <row r="57" spans="1:15" ht="20.25">
      <c r="A57" s="166"/>
      <c r="B57" s="36"/>
      <c r="C57" s="331" t="str">
        <f t="shared" si="1"/>
        <v>Approved Additional Items</v>
      </c>
      <c r="D57" s="335">
        <f>I54</f>
        <v>0</v>
      </c>
      <c r="E57" s="25"/>
      <c r="F57" s="272"/>
      <c r="J57" s="195"/>
      <c r="K57" s="217" t="s">
        <v>48</v>
      </c>
      <c r="L57" s="217" t="s">
        <v>49</v>
      </c>
      <c r="M57" s="197" t="s">
        <v>139</v>
      </c>
      <c r="N57" s="197" t="s">
        <v>134</v>
      </c>
      <c r="O57" s="197"/>
    </row>
    <row r="58" spans="1:15" ht="21" thickBot="1">
      <c r="A58" s="166"/>
      <c r="B58" s="36"/>
      <c r="C58" s="332" t="str">
        <f t="shared" si="1"/>
        <v>Final CoA including approved Additional Items</v>
      </c>
      <c r="D58" s="336">
        <f>H71</f>
        <v>27510</v>
      </c>
      <c r="F58" s="272"/>
      <c r="G58" s="227" t="s">
        <v>303</v>
      </c>
      <c r="H58" s="197"/>
      <c r="J58" s="204" t="s">
        <v>43</v>
      </c>
      <c r="K58" s="229">
        <f>H71</f>
        <v>27510</v>
      </c>
      <c r="L58" s="229"/>
      <c r="O58" s="197"/>
    </row>
    <row r="59" spans="1:22" ht="30.75" customHeight="1" thickTop="1">
      <c r="A59" s="166"/>
      <c r="B59" s="36"/>
      <c r="F59" s="272"/>
      <c r="H59" s="228" t="s">
        <v>22</v>
      </c>
      <c r="J59" s="204" t="s">
        <v>44</v>
      </c>
      <c r="K59" s="229">
        <f>-D39</f>
        <v>0</v>
      </c>
      <c r="L59" s="229"/>
      <c r="M59" s="195"/>
      <c r="O59" s="197"/>
      <c r="U59" s="137"/>
      <c r="V59" s="137"/>
    </row>
    <row r="60" spans="1:24" s="105" customFormat="1" ht="20.25" hidden="1">
      <c r="A60" s="166"/>
      <c r="B60" s="36"/>
      <c r="E60" s="322" t="s">
        <v>324</v>
      </c>
      <c r="F60" s="272"/>
      <c r="G60" s="230" t="s">
        <v>23</v>
      </c>
      <c r="H60" s="231">
        <f>ROUND(H32,0)</f>
        <v>0</v>
      </c>
      <c r="I60" s="204"/>
      <c r="J60" s="204" t="s">
        <v>47</v>
      </c>
      <c r="K60" s="229">
        <f>IF((SUM(K58:K59)&gt;0),(SUM(K58:K59)),0)</f>
        <v>27510</v>
      </c>
      <c r="L60" s="229"/>
      <c r="M60" s="204"/>
      <c r="N60" s="229">
        <f>IF((K60&lt;K62),(K62-K60),0)</f>
        <v>0</v>
      </c>
      <c r="O60" s="204"/>
      <c r="P60" s="195"/>
      <c r="Q60" s="195"/>
      <c r="R60" s="195"/>
      <c r="S60" s="137"/>
      <c r="W60" s="137"/>
      <c r="X60" s="137"/>
    </row>
    <row r="61" spans="1:12" ht="15.75" hidden="1">
      <c r="A61" s="166"/>
      <c r="B61" s="36"/>
      <c r="C61" s="309" t="s">
        <v>309</v>
      </c>
      <c r="D61" s="311" t="s">
        <v>340</v>
      </c>
      <c r="E61" s="326" t="s">
        <v>331</v>
      </c>
      <c r="F61" s="327"/>
      <c r="G61" s="230" t="s">
        <v>24</v>
      </c>
      <c r="H61" s="231">
        <f>ROUND((IF(K41="P",I41,H41)),0)</f>
        <v>13804</v>
      </c>
      <c r="J61" s="204" t="s">
        <v>133</v>
      </c>
      <c r="K61" s="229">
        <f>IF((D29="Y"),0,G28)</f>
        <v>3500</v>
      </c>
      <c r="L61" s="229"/>
    </row>
    <row r="62" spans="1:13" ht="15" hidden="1">
      <c r="A62" s="166"/>
      <c r="B62" s="36"/>
      <c r="C62" s="283" t="s">
        <v>325</v>
      </c>
      <c r="D62" s="342">
        <v>0</v>
      </c>
      <c r="E62" s="25" t="s">
        <v>328</v>
      </c>
      <c r="F62" s="272"/>
      <c r="G62" s="230" t="s">
        <v>25</v>
      </c>
      <c r="H62" s="231">
        <f>ROUND((IF(K42="P",I42,H42)),0)</f>
        <v>4466</v>
      </c>
      <c r="J62" s="197" t="s">
        <v>45</v>
      </c>
      <c r="K62" s="233">
        <f>IF((((K60/(100-N51))*100)&lt;K61),((K60/(100-N51))*100),K61)</f>
        <v>3500</v>
      </c>
      <c r="L62" s="229"/>
      <c r="M62" s="204">
        <f>IF((N60&gt;0),0,(K62*O51))</f>
        <v>36.995</v>
      </c>
    </row>
    <row r="63" spans="1:16" ht="15" hidden="1">
      <c r="A63" s="166"/>
      <c r="B63" s="36"/>
      <c r="C63" s="283" t="s">
        <v>326</v>
      </c>
      <c r="D63" s="342">
        <v>0</v>
      </c>
      <c r="E63" s="25" t="s">
        <v>328</v>
      </c>
      <c r="F63" s="272"/>
      <c r="G63" s="230" t="s">
        <v>26</v>
      </c>
      <c r="H63" s="231">
        <f>ROUND((IF(K43="P",I43,H43)),0)</f>
        <v>812</v>
      </c>
      <c r="K63" s="229"/>
      <c r="L63" s="229"/>
      <c r="P63" s="229"/>
    </row>
    <row r="64" spans="1:14" ht="15" hidden="1">
      <c r="A64" s="166"/>
      <c r="B64" s="36"/>
      <c r="C64" s="283" t="s">
        <v>327</v>
      </c>
      <c r="D64" s="342">
        <v>0</v>
      </c>
      <c r="E64" s="25" t="s">
        <v>328</v>
      </c>
      <c r="F64" s="272"/>
      <c r="G64" s="230" t="s">
        <v>27</v>
      </c>
      <c r="H64" s="231">
        <f>ROUND((IF(K44="P",I44,H44)),0)</f>
        <v>1421</v>
      </c>
      <c r="J64" s="204" t="s">
        <v>51</v>
      </c>
      <c r="K64" s="229"/>
      <c r="L64" s="229">
        <f>IF((N60&gt;0),(K58+N60-K62),(K58-K62+M62))</f>
        <v>24046.995</v>
      </c>
      <c r="N64" s="229">
        <f>IF((((L66-L64)&gt;0)),(L66-L64),0)</f>
        <v>0</v>
      </c>
    </row>
    <row r="65" spans="1:12" ht="15" hidden="1">
      <c r="A65" s="166"/>
      <c r="B65" s="36"/>
      <c r="C65" s="283" t="s">
        <v>310</v>
      </c>
      <c r="D65" s="342">
        <v>0</v>
      </c>
      <c r="E65" s="25" t="s">
        <v>328</v>
      </c>
      <c r="F65" s="272"/>
      <c r="G65" s="230" t="s">
        <v>1</v>
      </c>
      <c r="H65" s="231">
        <f>ROUND((IF(K45="P",I45,H45)),0)</f>
        <v>3654</v>
      </c>
      <c r="J65" s="204" t="s">
        <v>50</v>
      </c>
      <c r="K65" s="229"/>
      <c r="L65" s="229">
        <f>IF((D29="Y"),0,(G28+I28-K62))</f>
        <v>2000</v>
      </c>
    </row>
    <row r="66" spans="1:13" ht="15.75" hidden="1" thickBot="1">
      <c r="A66" s="166"/>
      <c r="B66" s="36"/>
      <c r="C66" s="310" t="s">
        <v>339</v>
      </c>
      <c r="D66" s="311"/>
      <c r="E66" s="25"/>
      <c r="F66" s="272"/>
      <c r="G66" s="230" t="s">
        <v>367</v>
      </c>
      <c r="H66" s="234">
        <f>IF((D37=1),(K46+K47),K46)</f>
        <v>3353</v>
      </c>
      <c r="J66" s="197" t="s">
        <v>46</v>
      </c>
      <c r="K66" s="233"/>
      <c r="L66" s="233">
        <f>IF((((L64/(100-N52))*100)&lt;L65),((L64/(100-N52))*100),L65)</f>
        <v>2000</v>
      </c>
      <c r="M66" s="204">
        <f>+IF((N64&gt;0),0,(L66*O52))</f>
        <v>21.14</v>
      </c>
    </row>
    <row r="67" spans="1:19" ht="15" hidden="1">
      <c r="A67" s="166"/>
      <c r="B67" s="36"/>
      <c r="C67" s="345" t="s">
        <v>368</v>
      </c>
      <c r="D67" s="344">
        <f>SUM(D62:D65)</f>
        <v>0</v>
      </c>
      <c r="E67" s="343">
        <f>I54</f>
        <v>0</v>
      </c>
      <c r="F67" s="272"/>
      <c r="G67" s="235" t="s">
        <v>33</v>
      </c>
      <c r="H67" s="236">
        <f>SUM(H60:H66)</f>
        <v>27510</v>
      </c>
      <c r="K67" s="229"/>
      <c r="L67" s="229"/>
      <c r="Q67" s="197"/>
      <c r="R67" s="197"/>
      <c r="S67" s="138"/>
    </row>
    <row r="68" spans="1:14" ht="15.75" hidden="1">
      <c r="A68" s="166"/>
      <c r="B68" s="36"/>
      <c r="C68" s="191">
        <f>IF(((SUM(B31:B34))&gt;0),"As you will be in places not allowed by your government you are not entitled to Federal Loans - only private loans","")</f>
      </c>
      <c r="D68" s="189"/>
      <c r="E68" s="25"/>
      <c r="F68" s="272"/>
      <c r="G68" s="230" t="s">
        <v>54</v>
      </c>
      <c r="H68" s="231">
        <f>ROUND((-I37),0)</f>
        <v>0</v>
      </c>
      <c r="J68" s="197" t="s">
        <v>130</v>
      </c>
      <c r="K68" s="229"/>
      <c r="L68" s="229"/>
      <c r="M68" s="197"/>
      <c r="N68" s="217"/>
    </row>
    <row r="69" spans="1:24" s="47" customFormat="1" ht="21" thickBot="1">
      <c r="A69" s="286">
        <v>4</v>
      </c>
      <c r="B69" s="296"/>
      <c r="C69" s="297" t="s">
        <v>302</v>
      </c>
      <c r="D69" s="298"/>
      <c r="E69" s="299"/>
      <c r="F69" s="300"/>
      <c r="G69" s="238" t="s">
        <v>33</v>
      </c>
      <c r="H69" s="239">
        <f>ROUND((SUM(H67:H68)),0)</f>
        <v>27510</v>
      </c>
      <c r="I69" s="204"/>
      <c r="J69" s="204" t="s">
        <v>131</v>
      </c>
      <c r="K69" s="229">
        <f>IF((N64=0),(K58-K62-L66+M62+M66),0)</f>
        <v>22068.135</v>
      </c>
      <c r="L69" s="229"/>
      <c r="M69" s="241"/>
      <c r="N69" s="241"/>
      <c r="O69" s="249"/>
      <c r="P69" s="197"/>
      <c r="Q69" s="204"/>
      <c r="R69" s="204"/>
      <c r="S69" s="139"/>
      <c r="T69" s="138"/>
      <c r="U69" s="138"/>
      <c r="V69" s="138"/>
      <c r="W69" s="138"/>
      <c r="X69" s="138"/>
    </row>
    <row r="70" spans="1:15" ht="18.75" thickTop="1">
      <c r="A70" s="166"/>
      <c r="B70" s="36"/>
      <c r="C70" s="39" t="str">
        <f>IF((A45&gt;0),"",(IF((D34="N"),L28,G76)))</f>
        <v>Subsidised - Adjusted by EFC</v>
      </c>
      <c r="D70" s="349">
        <f>IF((A45&gt;0),0,H76)</f>
        <v>3500</v>
      </c>
      <c r="E70" s="25">
        <f>IF((N60&gt;0),"Grossed up for fees","")</f>
      </c>
      <c r="F70" s="272"/>
      <c r="G70" s="232" t="s">
        <v>332</v>
      </c>
      <c r="H70" s="240">
        <f>SUM(I49:I52)</f>
        <v>0</v>
      </c>
      <c r="K70" s="229"/>
      <c r="L70" s="229"/>
      <c r="M70" s="241"/>
      <c r="N70" s="241"/>
      <c r="O70" s="250"/>
    </row>
    <row r="71" spans="1:15" ht="18" customHeight="1" thickBot="1">
      <c r="A71" s="166"/>
      <c r="B71" s="36"/>
      <c r="C71" s="39" t="str">
        <f>IF((A45&gt;0),"",G77)</f>
        <v>Unsubsudised</v>
      </c>
      <c r="D71" s="349">
        <f>IF((A45&gt;0),0,H77)</f>
        <v>2000</v>
      </c>
      <c r="E71" s="25">
        <f>IF((N64&gt;0),"Grossed up for fees","")</f>
      </c>
      <c r="F71" s="272"/>
      <c r="G71" s="329" t="s">
        <v>333</v>
      </c>
      <c r="H71" s="330">
        <f>SUM(H69:H70)</f>
        <v>27510</v>
      </c>
      <c r="J71" s="204" t="s">
        <v>132</v>
      </c>
      <c r="K71" s="229">
        <f>IF((D29="Y"),0,(H5-K62-L66))</f>
        <v>81387</v>
      </c>
      <c r="L71" s="229" t="s">
        <v>373</v>
      </c>
      <c r="N71" s="241"/>
      <c r="O71" s="250"/>
    </row>
    <row r="72" spans="1:15" ht="15" customHeight="1" thickTop="1">
      <c r="A72" s="166" t="s">
        <v>343</v>
      </c>
      <c r="B72" s="36"/>
      <c r="C72" s="39">
        <f>G78</f>
      </c>
      <c r="D72" s="349"/>
      <c r="E72" s="41"/>
      <c r="F72" s="272"/>
      <c r="I72" s="232"/>
      <c r="K72" s="229"/>
      <c r="L72" s="229"/>
      <c r="O72" s="255"/>
    </row>
    <row r="73" spans="1:15" ht="15">
      <c r="A73" s="166" t="s">
        <v>342</v>
      </c>
      <c r="B73" s="36"/>
      <c r="C73" s="39" t="str">
        <f>IF((A45&gt;0),"",G79)</f>
        <v>Maximum PLUS Loan allowed for this CoA before grossing up for fees</v>
      </c>
      <c r="D73" s="349">
        <f>IF((A45&gt;0),0,H79)</f>
        <v>22010</v>
      </c>
      <c r="F73" s="272"/>
      <c r="I73" s="232"/>
      <c r="J73" s="197" t="s">
        <v>52</v>
      </c>
      <c r="K73" s="233">
        <f>IF((D28="Y"),0,(IF((((K69/(100-N53)*100))&lt;K71),((K69/(100-N53)*100)),(((K71+M62+M66)/(100-N53))*100))))</f>
        <v>23042.36624483147</v>
      </c>
      <c r="L73" s="229"/>
      <c r="M73" s="244"/>
      <c r="O73" s="252"/>
    </row>
    <row r="74" spans="1:15" ht="20.25">
      <c r="A74" s="166"/>
      <c r="B74" s="36"/>
      <c r="C74" s="284">
        <f>G81</f>
      </c>
      <c r="D74" s="363">
        <f>H81</f>
        <v>0</v>
      </c>
      <c r="E74" s="25"/>
      <c r="F74" s="268"/>
      <c r="G74" s="242" t="s">
        <v>255</v>
      </c>
      <c r="H74" s="243" t="s">
        <v>22</v>
      </c>
      <c r="I74" s="232"/>
      <c r="L74" s="229"/>
      <c r="M74" s="245"/>
      <c r="N74" s="244"/>
      <c r="O74" s="252"/>
    </row>
    <row r="75" spans="1:15" ht="21" thickBot="1">
      <c r="A75" s="166"/>
      <c r="B75" s="36"/>
      <c r="C75" s="42" t="str">
        <f>IF((A45&gt;0),"",G82)</f>
        <v>Total Eligible before adjustment for Fees</v>
      </c>
      <c r="D75" s="350">
        <f>IF((A45&gt;0),0,H82)</f>
        <v>27510</v>
      </c>
      <c r="E75" s="25"/>
      <c r="F75" s="272"/>
      <c r="G75" s="242" t="s">
        <v>267</v>
      </c>
      <c r="H75" s="243"/>
      <c r="I75" s="232"/>
      <c r="J75" s="197" t="s">
        <v>261</v>
      </c>
      <c r="M75" s="245"/>
      <c r="N75" s="246"/>
      <c r="O75" s="252"/>
    </row>
    <row r="76" spans="1:16" ht="18.75" thickTop="1">
      <c r="A76" s="170">
        <v>5</v>
      </c>
      <c r="B76" s="160"/>
      <c r="C76" s="161" t="s">
        <v>123</v>
      </c>
      <c r="D76" s="27"/>
      <c r="E76" s="28"/>
      <c r="F76" s="272"/>
      <c r="G76" s="230" t="s">
        <v>53</v>
      </c>
      <c r="H76" s="240">
        <f>K62</f>
        <v>3500</v>
      </c>
      <c r="I76" s="232"/>
      <c r="J76" s="204">
        <f>(IF(AND(D35="N",D34="Y"),1,0))+(IF((D38="I"),1,0))</f>
        <v>1</v>
      </c>
      <c r="K76" s="204" t="s">
        <v>266</v>
      </c>
      <c r="M76" s="245"/>
      <c r="N76" s="246"/>
      <c r="O76" s="252"/>
      <c r="P76" s="229"/>
    </row>
    <row r="77" spans="1:16" ht="18">
      <c r="A77" s="166"/>
      <c r="B77" s="36"/>
      <c r="C77" s="23" t="str">
        <f>IF(H67&gt;H5,I95,"  ")</f>
        <v>  </v>
      </c>
      <c r="D77" s="29"/>
      <c r="E77" s="30"/>
      <c r="F77" s="274"/>
      <c r="G77" s="230" t="s">
        <v>32</v>
      </c>
      <c r="H77" s="240">
        <f>L66</f>
        <v>2000</v>
      </c>
      <c r="I77" s="232"/>
      <c r="P77" s="229"/>
    </row>
    <row r="78" spans="1:9" ht="18.75" thickBot="1">
      <c r="A78" s="166"/>
      <c r="B78" s="36"/>
      <c r="C78" s="24" t="str">
        <f>IF((A45&gt;0),"",(IF(H67&gt;H5,I96,I97)))</f>
        <v>You are allowed to borrow up to the values above</v>
      </c>
      <c r="D78" s="31"/>
      <c r="E78" s="32"/>
      <c r="F78" s="274"/>
      <c r="G78" s="230">
        <f>IF((J76=2),K76,(IF((H69&gt;H5),"PLUS Loan to fulfil this CoA","")))</f>
      </c>
      <c r="I78" s="232"/>
    </row>
    <row r="79" spans="1:9" ht="18">
      <c r="A79" s="171">
        <v>6</v>
      </c>
      <c r="B79" s="162"/>
      <c r="C79" s="163" t="str">
        <f>IF((D27=G12),"THIS SECTION DOES NOT APPLY TO SALLIE MAE LOANS","YOU TELL US HOW MUCH WOULD YOU LIKE TO BORROW - YOU MAY REDUCE THE FIGURES IN BLUE")</f>
        <v>YOU TELL US HOW MUCH WOULD YOU LIKE TO BORROW - YOU MAY REDUCE THE FIGURES IN BLUE</v>
      </c>
      <c r="D79" s="164"/>
      <c r="E79" s="165"/>
      <c r="F79" s="274"/>
      <c r="G79" s="230" t="str">
        <f>IF((J76=2),"","Maximum PLUS Loan allowed for this CoA before grossing up for fees")</f>
        <v>Maximum PLUS Loan allowed for this CoA before grossing up for fees</v>
      </c>
      <c r="H79" s="247">
        <f>IF((J76=2),"",(IF((K69&lt;K71),(K69-M66-M62),K71)))</f>
        <v>22010</v>
      </c>
      <c r="I79" s="237"/>
    </row>
    <row r="80" spans="1:10" ht="54">
      <c r="A80" s="172" t="s">
        <v>283</v>
      </c>
      <c r="B80" s="127" t="s">
        <v>122</v>
      </c>
      <c r="C80" s="323" t="s">
        <v>140</v>
      </c>
      <c r="D80" s="324" t="s">
        <v>284</v>
      </c>
      <c r="E80" s="128" t="s">
        <v>92</v>
      </c>
      <c r="F80" s="275"/>
      <c r="G80" s="230" t="s">
        <v>274</v>
      </c>
      <c r="H80" s="247"/>
      <c r="I80" s="232" t="s">
        <v>365</v>
      </c>
      <c r="J80" s="204" t="s">
        <v>366</v>
      </c>
    </row>
    <row r="81" spans="1:10" ht="15.75">
      <c r="A81" s="354">
        <f>IF((A45&gt;0),0,(IF((D27=G12),0,G89)))</f>
        <v>3500</v>
      </c>
      <c r="B81" s="129">
        <f>O51</f>
        <v>0.01057</v>
      </c>
      <c r="C81" s="130" t="str">
        <f>C70</f>
        <v>Subsidised - Adjusted by EFC</v>
      </c>
      <c r="D81" s="351">
        <f>A81</f>
        <v>3500</v>
      </c>
      <c r="E81" s="352">
        <f>ROUND(((D81*(1-O51))),0)</f>
        <v>3463</v>
      </c>
      <c r="F81" s="276"/>
      <c r="G81" s="360">
        <f>IF((H81&gt;1),("Private (Salie Mae) Loan"),"")</f>
      </c>
      <c r="H81" s="44">
        <f>MAX(I81:J81)</f>
        <v>0</v>
      </c>
      <c r="I81" s="232">
        <f>IF((D29="Y"),H71,"")</f>
      </c>
      <c r="J81" s="204">
        <f>IF((D28="Y"),(H79+M62+M66),"")</f>
      </c>
    </row>
    <row r="82" spans="1:32" s="108" customFormat="1" ht="16.5" thickBot="1">
      <c r="A82" s="354">
        <f>IF((A45&gt;0),0,(IF((D27=G12),0,G90)))</f>
        <v>2000</v>
      </c>
      <c r="B82" s="129">
        <f>O52</f>
        <v>0.01057</v>
      </c>
      <c r="C82" s="130" t="s">
        <v>32</v>
      </c>
      <c r="D82" s="351">
        <f>A82</f>
        <v>2000</v>
      </c>
      <c r="E82" s="352">
        <f>ROUND(((D82*(1-O52))),0)</f>
        <v>1979</v>
      </c>
      <c r="F82" s="276"/>
      <c r="G82" s="238" t="s">
        <v>126</v>
      </c>
      <c r="H82" s="248">
        <f>SUM(H76:H80)</f>
        <v>27510</v>
      </c>
      <c r="P82" s="249"/>
      <c r="Q82" s="249"/>
      <c r="R82" s="204"/>
      <c r="S82" s="139"/>
      <c r="T82" s="139"/>
      <c r="U82" s="139"/>
      <c r="V82" s="139"/>
      <c r="W82" s="139"/>
      <c r="X82" s="139"/>
      <c r="Y82" s="20"/>
      <c r="Z82" s="20"/>
      <c r="AA82" s="20"/>
      <c r="AB82" s="20"/>
      <c r="AC82" s="20"/>
      <c r="AD82" s="20"/>
      <c r="AE82" s="20"/>
      <c r="AF82" s="20"/>
    </row>
    <row r="83" spans="1:32" s="109" customFormat="1" ht="18.75" thickTop="1">
      <c r="A83" s="354">
        <f>G91</f>
        <v>0</v>
      </c>
      <c r="B83" s="129">
        <v>0</v>
      </c>
      <c r="C83" s="130">
        <f>G81</f>
      </c>
      <c r="D83" s="351">
        <f>G91</f>
        <v>0</v>
      </c>
      <c r="E83" s="361">
        <f>H91</f>
        <v>0</v>
      </c>
      <c r="F83" s="276"/>
      <c r="G83" s="44"/>
      <c r="H83" s="44"/>
      <c r="I83" s="232"/>
      <c r="P83" s="250"/>
      <c r="Q83" s="250"/>
      <c r="R83" s="249"/>
      <c r="S83" s="141"/>
      <c r="T83" s="141"/>
      <c r="U83" s="141"/>
      <c r="V83" s="141"/>
      <c r="W83" s="141"/>
      <c r="X83" s="141"/>
      <c r="Y83" s="108"/>
      <c r="Z83" s="108"/>
      <c r="AA83" s="108"/>
      <c r="AB83" s="108"/>
      <c r="AC83" s="108"/>
      <c r="AD83" s="108"/>
      <c r="AE83" s="108"/>
      <c r="AF83" s="108"/>
    </row>
    <row r="84" spans="1:32" s="126" customFormat="1" ht="18">
      <c r="A84" s="354">
        <f>IF((A45&gt;0),0,(IF((D27=G12),0,G92)))</f>
        <v>23042</v>
      </c>
      <c r="B84" s="129">
        <f>O53</f>
        <v>0.04228</v>
      </c>
      <c r="C84" s="130" t="str">
        <f>IF((J76=2),K76,"PLUS Loan (Adjusted up to include all fees)")</f>
        <v>PLUS Loan (Adjusted up to include all fees)</v>
      </c>
      <c r="D84" s="351">
        <f>IF((A84=""),0,((ROUND(A84,0))))</f>
        <v>23042</v>
      </c>
      <c r="E84" s="352">
        <f>ROUND(((D84*(1-O53))),0)</f>
        <v>22068</v>
      </c>
      <c r="F84" s="277">
        <f>IF((D81&gt;A81),("You cannot borrow more than  "&amp;A81),"")</f>
      </c>
      <c r="G84" s="250"/>
      <c r="H84" s="249" t="s">
        <v>57</v>
      </c>
      <c r="I84" s="232"/>
      <c r="P84" s="250"/>
      <c r="Q84" s="250"/>
      <c r="R84" s="250"/>
      <c r="S84" s="142"/>
      <c r="T84" s="142"/>
      <c r="U84" s="142"/>
      <c r="V84" s="142"/>
      <c r="W84" s="142"/>
      <c r="X84" s="142"/>
      <c r="Y84" s="109"/>
      <c r="Z84" s="109"/>
      <c r="AA84" s="109"/>
      <c r="AB84" s="109"/>
      <c r="AC84" s="109"/>
      <c r="AD84" s="109"/>
      <c r="AE84" s="109"/>
      <c r="AF84" s="109"/>
    </row>
    <row r="85" spans="1:24" s="126" customFormat="1" ht="18.75" thickBot="1">
      <c r="A85" s="354">
        <f>IF((A45&gt;0),0,(IF((D27=G12),0,G93)))</f>
        <v>28542</v>
      </c>
      <c r="B85" s="131"/>
      <c r="C85" s="132" t="s">
        <v>121</v>
      </c>
      <c r="D85" s="353">
        <f>SUM(D81:D84)</f>
        <v>28542</v>
      </c>
      <c r="E85" s="353">
        <f>SUM(E81:E84)</f>
        <v>27510</v>
      </c>
      <c r="F85" s="277">
        <f>IF((D82&gt;A82),("You cannot borrow more than  "&amp;A82),"")</f>
      </c>
      <c r="G85" s="250"/>
      <c r="H85" s="249" t="s">
        <v>58</v>
      </c>
      <c r="I85" s="232"/>
      <c r="P85" s="255"/>
      <c r="Q85" s="255"/>
      <c r="R85" s="255"/>
      <c r="S85" s="144"/>
      <c r="T85" s="144"/>
      <c r="U85" s="144"/>
      <c r="V85" s="144"/>
      <c r="W85" s="144"/>
      <c r="X85" s="144"/>
    </row>
    <row r="86" spans="1:32" s="44" customFormat="1" ht="18.75" thickTop="1">
      <c r="A86" s="173" t="s">
        <v>364</v>
      </c>
      <c r="B86" s="133"/>
      <c r="C86" s="134" t="str">
        <f>IF((A45&gt;0),"",(IF((D85&lt;(H5*1.04)),I99,I101)))</f>
        <v>We will check everything you have provided with the USDE data and regulations</v>
      </c>
      <c r="D86" s="135"/>
      <c r="E86" s="135"/>
      <c r="F86" s="277">
        <f>IF((D84&gt;A84),("You cannot borrow more than  "&amp;ROUND(A84,2)),"")</f>
      </c>
      <c r="G86" s="252"/>
      <c r="H86" s="253" t="s">
        <v>56</v>
      </c>
      <c r="I86" s="232"/>
      <c r="P86" s="252"/>
      <c r="Q86" s="252"/>
      <c r="R86" s="255"/>
      <c r="S86" s="144"/>
      <c r="T86" s="144"/>
      <c r="U86" s="144"/>
      <c r="V86" s="144"/>
      <c r="W86" s="144"/>
      <c r="X86" s="144"/>
      <c r="Y86" s="126"/>
      <c r="Z86" s="126"/>
      <c r="AA86" s="126"/>
      <c r="AB86" s="126"/>
      <c r="AC86" s="126"/>
      <c r="AD86" s="126"/>
      <c r="AE86" s="126"/>
      <c r="AF86" s="126"/>
    </row>
    <row r="87" spans="1:24" s="44" customFormat="1" ht="18">
      <c r="A87" s="166"/>
      <c r="B87" s="16"/>
      <c r="C87" s="134" t="str">
        <f>IF((A45&gt;0),"",(IF((D85&lt;(H5*1.04)),I100,I107)))</f>
        <v>If everything is correct we will originate your loans and issue a certificate for visa application</v>
      </c>
      <c r="D87" s="135"/>
      <c r="F87" s="277">
        <f>IF((D85&gt;A85),("You cannot borrow more than  "&amp;ROUND(A85,2)),"")</f>
      </c>
      <c r="G87" s="252"/>
      <c r="H87" s="255"/>
      <c r="I87" s="232"/>
      <c r="P87" s="252"/>
      <c r="Q87" s="252"/>
      <c r="R87" s="252"/>
      <c r="S87" s="143"/>
      <c r="T87" s="143"/>
      <c r="U87" s="143"/>
      <c r="V87" s="143"/>
      <c r="W87" s="143"/>
      <c r="X87" s="143"/>
    </row>
    <row r="88" spans="1:24" s="44" customFormat="1" ht="18">
      <c r="A88" s="166"/>
      <c r="B88" s="16"/>
      <c r="C88" s="134">
        <f>IF((A45&gt;0),"REMEMBER - TELL US WHEN YOU HAVE DONE YOUR SALLIE MAE APPLICATION SO WE CAN CERTIFY IT","")</f>
      </c>
      <c r="D88" s="135"/>
      <c r="E88" s="278">
        <f>IF((E85&lt;&gt;D75),"Includes $"&amp;(ROUND((E85-D75),0))&amp;" rounding differences","")</f>
      </c>
      <c r="F88" s="279"/>
      <c r="G88" s="257" t="s">
        <v>109</v>
      </c>
      <c r="H88" s="256" t="s">
        <v>92</v>
      </c>
      <c r="I88" s="232"/>
      <c r="P88" s="252"/>
      <c r="Q88" s="252"/>
      <c r="R88" s="252"/>
      <c r="S88" s="143"/>
      <c r="T88" s="143"/>
      <c r="U88" s="143"/>
      <c r="V88" s="143"/>
      <c r="W88" s="143"/>
      <c r="X88" s="143"/>
    </row>
    <row r="89" spans="1:24" s="44" customFormat="1" ht="18">
      <c r="A89" s="358">
        <v>8</v>
      </c>
      <c r="B89" s="301"/>
      <c r="C89" s="301" t="s">
        <v>307</v>
      </c>
      <c r="D89" s="301"/>
      <c r="E89" s="301"/>
      <c r="F89" s="279"/>
      <c r="G89" s="258">
        <f>ROUND(K62,0)</f>
        <v>3500</v>
      </c>
      <c r="H89" s="259">
        <f>ROUND(((G89*(1-O51))),0)</f>
        <v>3463</v>
      </c>
      <c r="I89" s="204" t="s">
        <v>370</v>
      </c>
      <c r="P89" s="252"/>
      <c r="Q89" s="252"/>
      <c r="R89" s="252"/>
      <c r="S89" s="143"/>
      <c r="T89" s="143"/>
      <c r="U89" s="143"/>
      <c r="V89" s="143"/>
      <c r="W89" s="143"/>
      <c r="X89" s="143"/>
    </row>
    <row r="90" spans="1:24" s="44" customFormat="1" ht="15">
      <c r="A90" s="166"/>
      <c r="B90" s="145">
        <f>B81</f>
        <v>0.01057</v>
      </c>
      <c r="C90" s="136" t="str">
        <f>C81&amp;" Origination Fee of "&amp;L51&amp;"% less Interest Rebate of "&amp;M51&amp;"%"</f>
        <v>Subsidised - Adjusted by EFC Origination Fee of 1.057% less Interest Rebate of 0%</v>
      </c>
      <c r="D90" s="135"/>
      <c r="E90" s="36"/>
      <c r="F90" s="279"/>
      <c r="G90" s="258">
        <f>ROUND(L66,0)</f>
        <v>2000</v>
      </c>
      <c r="H90" s="259">
        <f>ROUND(((G90*(1-O52))),0)</f>
        <v>1979</v>
      </c>
      <c r="I90" s="232" t="s">
        <v>374</v>
      </c>
      <c r="N90" s="244"/>
      <c r="O90" s="252"/>
      <c r="P90" s="252"/>
      <c r="Q90" s="252"/>
      <c r="R90" s="262"/>
      <c r="S90" s="143"/>
      <c r="T90" s="143"/>
      <c r="U90" s="143"/>
      <c r="V90" s="143"/>
      <c r="W90" s="143"/>
      <c r="X90" s="143"/>
    </row>
    <row r="91" spans="1:24" s="44" customFormat="1" ht="15">
      <c r="A91" s="166"/>
      <c r="B91" s="145">
        <f>B82</f>
        <v>0.01057</v>
      </c>
      <c r="C91" s="136" t="str">
        <f>C82&amp;" Origination Fee of "&amp;L52&amp;"% less Interest Rebate of "&amp;M52&amp;"%"</f>
        <v>Unsubsudised Origination Fee of 1.057% less Interest Rebate of 0%</v>
      </c>
      <c r="D91" s="135"/>
      <c r="E91" s="36"/>
      <c r="F91" s="279"/>
      <c r="G91" s="258">
        <f>H81</f>
        <v>0</v>
      </c>
      <c r="H91" s="259">
        <f>G91</f>
        <v>0</v>
      </c>
      <c r="I91" s="232" t="s">
        <v>369</v>
      </c>
      <c r="J91" s="204"/>
      <c r="K91" s="204"/>
      <c r="L91" s="204"/>
      <c r="M91" s="245"/>
      <c r="N91" s="244"/>
      <c r="O91" s="252"/>
      <c r="P91" s="262"/>
      <c r="Q91" s="262"/>
      <c r="R91" s="252"/>
      <c r="S91" s="143"/>
      <c r="T91" s="143"/>
      <c r="U91" s="143"/>
      <c r="V91" s="143"/>
      <c r="W91" s="143"/>
      <c r="X91" s="143"/>
    </row>
    <row r="92" spans="1:24" s="44" customFormat="1" ht="15">
      <c r="A92" s="166"/>
      <c r="B92" s="145">
        <f>B84</f>
        <v>0.04228</v>
      </c>
      <c r="C92" s="136" t="str">
        <f>C84&amp;" Origination Fee of "&amp;L53&amp;"% less Interest Rebate of "&amp;M53&amp;"%"</f>
        <v>PLUS Loan (Adjusted up to include all fees) Origination Fee of 4.228% less Interest Rebate of 0%</v>
      </c>
      <c r="D92" s="135"/>
      <c r="E92" s="36"/>
      <c r="F92" s="280"/>
      <c r="G92" s="258">
        <f>IF((J76=2),"",(ROUND(K73,0)))</f>
        <v>23042</v>
      </c>
      <c r="H92" s="259">
        <f>ROUND(((G92*(1-O53))),0)</f>
        <v>22068</v>
      </c>
      <c r="I92" s="232" t="s">
        <v>371</v>
      </c>
      <c r="J92" s="204"/>
      <c r="K92" s="204"/>
      <c r="L92" s="204"/>
      <c r="M92" s="245"/>
      <c r="N92" s="246"/>
      <c r="O92" s="252"/>
      <c r="P92" s="252"/>
      <c r="Q92" s="264"/>
      <c r="R92" s="252"/>
      <c r="S92" s="143"/>
      <c r="T92" s="143"/>
      <c r="U92" s="143"/>
      <c r="V92" s="143"/>
      <c r="W92" s="143"/>
      <c r="X92" s="143"/>
    </row>
    <row r="93" spans="1:24" s="44" customFormat="1" ht="21" thickBot="1">
      <c r="A93" s="166"/>
      <c r="B93" s="36"/>
      <c r="C93" s="190" t="s">
        <v>285</v>
      </c>
      <c r="D93" s="135"/>
      <c r="E93" s="36"/>
      <c r="F93" s="280"/>
      <c r="G93" s="260">
        <f>SUM(G89:G92)</f>
        <v>28542</v>
      </c>
      <c r="H93" s="261">
        <f>SUM(H89:H92)</f>
        <v>27510</v>
      </c>
      <c r="I93" s="204" t="s">
        <v>372</v>
      </c>
      <c r="J93" s="204"/>
      <c r="K93" s="204"/>
      <c r="L93" s="204"/>
      <c r="M93" s="245"/>
      <c r="N93" s="246"/>
      <c r="O93" s="252"/>
      <c r="P93" s="252"/>
      <c r="Q93" s="252"/>
      <c r="R93" s="252"/>
      <c r="S93" s="143"/>
      <c r="T93" s="143"/>
      <c r="U93" s="143"/>
      <c r="V93" s="143"/>
      <c r="W93" s="143"/>
      <c r="X93" s="143"/>
    </row>
    <row r="94" spans="1:24" s="44" customFormat="1" ht="16.5" thickTop="1">
      <c r="A94" s="166"/>
      <c r="B94" s="36"/>
      <c r="C94" s="36"/>
      <c r="D94" s="36"/>
      <c r="E94" s="36"/>
      <c r="F94" s="280"/>
      <c r="G94" s="252"/>
      <c r="I94" s="204"/>
      <c r="J94" s="249"/>
      <c r="K94" s="249"/>
      <c r="L94" s="249"/>
      <c r="M94" s="249"/>
      <c r="N94" s="249"/>
      <c r="O94" s="252"/>
      <c r="P94" s="252"/>
      <c r="Q94" s="252"/>
      <c r="R94" s="252"/>
      <c r="S94" s="143"/>
      <c r="T94" s="143"/>
      <c r="U94" s="143"/>
      <c r="V94" s="143"/>
      <c r="W94" s="143"/>
      <c r="X94" s="143"/>
    </row>
    <row r="95" spans="1:24" s="44" customFormat="1" ht="18">
      <c r="A95" s="40"/>
      <c r="B95" s="34"/>
      <c r="C95" s="20"/>
      <c r="D95" s="15"/>
      <c r="E95" s="15"/>
      <c r="F95" s="294"/>
      <c r="G95" s="252"/>
      <c r="H95" s="253" t="s">
        <v>57</v>
      </c>
      <c r="I95" s="251" t="s">
        <v>71</v>
      </c>
      <c r="J95" s="250"/>
      <c r="K95" s="250"/>
      <c r="L95" s="250"/>
      <c r="M95" s="250"/>
      <c r="N95" s="250"/>
      <c r="O95" s="252"/>
      <c r="P95" s="252"/>
      <c r="Q95" s="252"/>
      <c r="R95" s="252"/>
      <c r="S95" s="143"/>
      <c r="T95" s="143"/>
      <c r="U95" s="143"/>
      <c r="V95" s="143"/>
      <c r="W95" s="143"/>
      <c r="X95" s="143"/>
    </row>
    <row r="96" spans="1:24" s="44" customFormat="1" ht="18">
      <c r="A96" s="34"/>
      <c r="B96" s="34"/>
      <c r="C96" s="20"/>
      <c r="D96" s="15"/>
      <c r="E96" s="15"/>
      <c r="F96" s="294"/>
      <c r="G96" s="252"/>
      <c r="I96" s="251" t="s">
        <v>91</v>
      </c>
      <c r="J96" s="250"/>
      <c r="K96" s="250"/>
      <c r="L96" s="250"/>
      <c r="M96" s="250"/>
      <c r="N96" s="250"/>
      <c r="O96" s="252"/>
      <c r="P96" s="252"/>
      <c r="Q96" s="252"/>
      <c r="R96" s="252"/>
      <c r="S96" s="143"/>
      <c r="T96" s="143"/>
      <c r="U96" s="143"/>
      <c r="V96" s="143"/>
      <c r="W96" s="143"/>
      <c r="X96" s="143"/>
    </row>
    <row r="97" spans="7:24" s="44" customFormat="1" ht="18">
      <c r="G97" s="252"/>
      <c r="I97" s="254" t="s">
        <v>73</v>
      </c>
      <c r="J97" s="255"/>
      <c r="K97" s="255"/>
      <c r="L97" s="255"/>
      <c r="M97" s="255"/>
      <c r="N97" s="255"/>
      <c r="O97" s="252"/>
      <c r="P97" s="252"/>
      <c r="Q97" s="252"/>
      <c r="R97" s="252"/>
      <c r="S97" s="143"/>
      <c r="T97" s="143"/>
      <c r="U97" s="143"/>
      <c r="V97" s="143"/>
      <c r="W97" s="143"/>
      <c r="X97" s="143"/>
    </row>
    <row r="98" spans="9:24" s="44" customFormat="1" ht="18">
      <c r="I98" s="255"/>
      <c r="J98" s="252"/>
      <c r="K98" s="252"/>
      <c r="L98" s="252"/>
      <c r="M98" s="252"/>
      <c r="N98" s="252"/>
      <c r="O98" s="252"/>
      <c r="P98" s="252"/>
      <c r="Q98" s="252"/>
      <c r="R98" s="252"/>
      <c r="S98" s="143"/>
      <c r="T98" s="143"/>
      <c r="U98" s="143"/>
      <c r="V98" s="143"/>
      <c r="W98" s="143"/>
      <c r="X98" s="143"/>
    </row>
    <row r="99" spans="1:32" ht="18">
      <c r="A99" s="44"/>
      <c r="B99" s="44"/>
      <c r="C99" s="44"/>
      <c r="D99" s="44"/>
      <c r="E99" s="44"/>
      <c r="F99" s="44"/>
      <c r="G99" s="44"/>
      <c r="H99" s="253" t="s">
        <v>74</v>
      </c>
      <c r="I99" s="263" t="s">
        <v>76</v>
      </c>
      <c r="J99" s="252"/>
      <c r="K99" s="252"/>
      <c r="L99" s="255"/>
      <c r="M99" s="255"/>
      <c r="N99" s="255"/>
      <c r="O99" s="252"/>
      <c r="P99" s="252"/>
      <c r="Q99" s="252"/>
      <c r="R99" s="252"/>
      <c r="S99" s="143"/>
      <c r="T99" s="143"/>
      <c r="U99" s="143"/>
      <c r="V99" s="143"/>
      <c r="W99" s="143"/>
      <c r="X99" s="143"/>
      <c r="Y99" s="44"/>
      <c r="Z99" s="44"/>
      <c r="AA99" s="44"/>
      <c r="AB99" s="44"/>
      <c r="AC99" s="44"/>
      <c r="AD99" s="44"/>
      <c r="AE99" s="44"/>
      <c r="AF99" s="44"/>
    </row>
    <row r="100" spans="8:14" ht="18">
      <c r="H100" s="253" t="s">
        <v>75</v>
      </c>
      <c r="I100" s="263" t="s">
        <v>90</v>
      </c>
      <c r="J100" s="252"/>
      <c r="K100" s="252"/>
      <c r="L100" s="252"/>
      <c r="M100" s="252"/>
      <c r="N100" s="252"/>
    </row>
    <row r="101" spans="8:14" ht="18">
      <c r="H101" s="253" t="s">
        <v>58</v>
      </c>
      <c r="I101" s="265" t="s">
        <v>77</v>
      </c>
      <c r="J101" s="252"/>
      <c r="K101" s="252"/>
      <c r="L101" s="252"/>
      <c r="M101" s="252"/>
      <c r="N101" s="252"/>
    </row>
    <row r="102" spans="9:14" ht="12.75">
      <c r="I102" s="252"/>
      <c r="J102" s="252"/>
      <c r="K102" s="252"/>
      <c r="L102" s="252"/>
      <c r="M102" s="252"/>
      <c r="N102" s="252"/>
    </row>
    <row r="103" spans="9:14" ht="12.75">
      <c r="I103" s="252"/>
      <c r="J103" s="252"/>
      <c r="K103" s="252"/>
      <c r="L103" s="252"/>
      <c r="M103" s="252"/>
      <c r="N103" s="252"/>
    </row>
    <row r="104" spans="10:14" ht="12.75">
      <c r="J104" s="252"/>
      <c r="K104" s="252"/>
      <c r="L104" s="252"/>
      <c r="M104" s="252"/>
      <c r="N104" s="252"/>
    </row>
    <row r="105" spans="10:14" ht="12.75">
      <c r="J105" s="252"/>
      <c r="K105" s="252"/>
      <c r="L105" s="252"/>
      <c r="M105" s="252"/>
      <c r="N105" s="252"/>
    </row>
    <row r="106" spans="10:14" ht="12.75">
      <c r="J106" s="252"/>
      <c r="K106" s="252"/>
      <c r="L106" s="252"/>
      <c r="M106" s="252"/>
      <c r="N106" s="252"/>
    </row>
    <row r="107" spans="1:14" ht="20.25">
      <c r="A107" s="359"/>
      <c r="I107" s="252"/>
      <c r="J107" s="252"/>
      <c r="K107" s="252"/>
      <c r="L107" s="252"/>
      <c r="M107" s="252"/>
      <c r="N107" s="252"/>
    </row>
    <row r="108" spans="1:14" ht="20.25">
      <c r="A108" s="359"/>
      <c r="I108" s="252"/>
      <c r="J108" s="252"/>
      <c r="K108" s="252"/>
      <c r="L108" s="252"/>
      <c r="M108" s="252"/>
      <c r="N108" s="252"/>
    </row>
    <row r="109" spans="9:14" ht="12.75">
      <c r="I109" s="252"/>
      <c r="J109" s="252"/>
      <c r="K109" s="252"/>
      <c r="L109" s="252"/>
      <c r="M109" s="252"/>
      <c r="N109" s="252"/>
    </row>
    <row r="110" spans="9:10" ht="15.75">
      <c r="I110" s="252"/>
      <c r="J110" s="348" t="s">
        <v>349</v>
      </c>
    </row>
    <row r="111" spans="1:15" ht="18">
      <c r="A111" s="320"/>
      <c r="B111" s="317"/>
      <c r="C111" s="318"/>
      <c r="D111" s="319"/>
      <c r="E111" s="321"/>
      <c r="F111" s="269"/>
      <c r="I111" s="252"/>
      <c r="K111" s="204" t="s">
        <v>350</v>
      </c>
      <c r="L111" s="204" t="s">
        <v>351</v>
      </c>
      <c r="M111" s="204" t="s">
        <v>352</v>
      </c>
      <c r="N111" s="204" t="s">
        <v>353</v>
      </c>
      <c r="O111" s="204" t="s">
        <v>356</v>
      </c>
    </row>
    <row r="112" spans="1:15" ht="15">
      <c r="A112" s="295"/>
      <c r="B112" s="36"/>
      <c r="C112" s="283"/>
      <c r="D112" s="52"/>
      <c r="E112" s="302"/>
      <c r="F112" s="269"/>
      <c r="J112" s="204" t="s">
        <v>359</v>
      </c>
      <c r="K112" s="355">
        <v>23000</v>
      </c>
      <c r="L112" s="355" t="e">
        <f>#REF!</f>
        <v>#REF!</v>
      </c>
      <c r="M112" s="355" t="e">
        <f>K112-L112</f>
        <v>#REF!</v>
      </c>
      <c r="N112" s="355">
        <f>G28</f>
        <v>3500</v>
      </c>
      <c r="O112" s="355" t="e">
        <f>MIN(M112:N112)</f>
        <v>#REF!</v>
      </c>
    </row>
    <row r="113" spans="1:15" ht="20.25">
      <c r="A113" s="295"/>
      <c r="B113" s="36"/>
      <c r="C113" s="283"/>
      <c r="D113" s="52"/>
      <c r="E113" s="302"/>
      <c r="F113" s="269"/>
      <c r="J113" s="204" t="s">
        <v>360</v>
      </c>
      <c r="N113" s="215" t="e">
        <f>IF((#REF!="D"),I28,0)</f>
        <v>#REF!</v>
      </c>
      <c r="O113" s="356" t="e">
        <f>IF((#REF!="D"),(M114-O112),0)</f>
        <v>#REF!</v>
      </c>
    </row>
    <row r="114" spans="1:13" ht="15">
      <c r="A114" s="295"/>
      <c r="B114" s="36"/>
      <c r="C114" s="304"/>
      <c r="D114" s="303"/>
      <c r="E114" s="25"/>
      <c r="F114" s="272"/>
      <c r="J114" s="204" t="s">
        <v>362</v>
      </c>
      <c r="K114" s="355">
        <v>31000</v>
      </c>
      <c r="L114" s="215" t="e">
        <f>IF((#REF!="D"),#REF!,0)</f>
        <v>#REF!</v>
      </c>
      <c r="M114" s="355" t="e">
        <f>K114-L114</f>
        <v>#REF!</v>
      </c>
    </row>
    <row r="115" spans="1:15" ht="20.25">
      <c r="A115" s="295"/>
      <c r="B115" s="36"/>
      <c r="C115" s="304"/>
      <c r="D115" s="303"/>
      <c r="E115" s="25"/>
      <c r="F115" s="272"/>
      <c r="J115" s="204" t="s">
        <v>361</v>
      </c>
      <c r="K115" s="105"/>
      <c r="L115" s="355"/>
      <c r="M115" s="355"/>
      <c r="N115" s="355" t="e">
        <f>IF((#REF!="I"),I28,0)</f>
        <v>#REF!</v>
      </c>
      <c r="O115" s="355"/>
    </row>
    <row r="116" spans="1:15" ht="15">
      <c r="A116" s="295"/>
      <c r="B116" s="36"/>
      <c r="D116" s="52"/>
      <c r="F116" s="272"/>
      <c r="J116" s="204" t="s">
        <v>363</v>
      </c>
      <c r="K116" s="355">
        <v>57500</v>
      </c>
      <c r="L116" s="355" t="e">
        <f>IF((#REF!="I"),#REF!,0)</f>
        <v>#REF!</v>
      </c>
      <c r="M116" s="355" t="e">
        <f>K116-L116</f>
        <v>#REF!</v>
      </c>
      <c r="N116" s="355"/>
      <c r="O116" s="355"/>
    </row>
    <row r="117" spans="1:15" ht="15">
      <c r="A117" s="295"/>
      <c r="B117" s="36"/>
      <c r="C117" s="283"/>
      <c r="D117" s="328"/>
      <c r="E117" s="25"/>
      <c r="F117" s="272"/>
      <c r="J117" s="204" t="s">
        <v>354</v>
      </c>
      <c r="K117" s="355">
        <v>65500</v>
      </c>
      <c r="L117" s="355" t="e">
        <f>#REF!</f>
        <v>#REF!</v>
      </c>
      <c r="M117" s="355" t="e">
        <f>K117-L117</f>
        <v>#REF!</v>
      </c>
      <c r="N117" s="355"/>
      <c r="O117" s="355"/>
    </row>
    <row r="118" spans="1:15" ht="15">
      <c r="A118" s="295"/>
      <c r="B118" s="36"/>
      <c r="C118" s="283"/>
      <c r="D118" s="328"/>
      <c r="E118" s="25"/>
      <c r="F118" s="272"/>
      <c r="J118" s="204" t="s">
        <v>355</v>
      </c>
      <c r="K118" s="355">
        <v>138500</v>
      </c>
      <c r="L118" s="355" t="e">
        <f>#REF!</f>
        <v>#REF!</v>
      </c>
      <c r="M118" s="355" t="e">
        <f>K118-L118</f>
        <v>#REF!</v>
      </c>
      <c r="N118" s="355"/>
      <c r="O118" s="355"/>
    </row>
    <row r="119" spans="1:6" ht="15">
      <c r="A119" s="295"/>
      <c r="B119" s="36"/>
      <c r="C119" s="283"/>
      <c r="D119" s="328"/>
      <c r="E119" s="25"/>
      <c r="F119" s="272"/>
    </row>
    <row r="120" spans="1:6" ht="15">
      <c r="A120" s="166"/>
      <c r="B120" s="36"/>
      <c r="C120" s="283"/>
      <c r="D120" s="328"/>
      <c r="E120" s="25"/>
      <c r="F120" s="272"/>
    </row>
  </sheetData>
  <sheetProtection password="FA58" sheet="1" selectLockedCells="1"/>
  <conditionalFormatting sqref="C114">
    <cfRule type="cellIs" priority="26" dxfId="1" operator="lessThan" stopIfTrue="1">
      <formula>0</formula>
    </cfRule>
  </conditionalFormatting>
  <conditionalFormatting sqref="D70:D73 D75">
    <cfRule type="cellIs" priority="20" dxfId="3" operator="equal" stopIfTrue="1">
      <formula>0</formula>
    </cfRule>
  </conditionalFormatting>
  <conditionalFormatting sqref="D35:D37 C35:C36">
    <cfRule type="cellIs" priority="22" dxfId="1" operator="equal" stopIfTrue="1">
      <formula>"Do not adjust this line"</formula>
    </cfRule>
  </conditionalFormatting>
  <conditionalFormatting sqref="C33">
    <cfRule type="cellIs" priority="23" dxfId="1" operator="equal" stopIfTrue="1">
      <formula>"do not adjust this line"</formula>
    </cfRule>
  </conditionalFormatting>
  <conditionalFormatting sqref="E33">
    <cfRule type="cellIs" priority="25" dxfId="0" operator="equal" stopIfTrue="1">
      <formula>"https://fafsa.ed.gov/FAFSA/app/schoolSearch?locale=en_EN"</formula>
    </cfRule>
  </conditionalFormatting>
  <dataValidations count="5">
    <dataValidation type="list" allowBlank="1" showInputMessage="1" showErrorMessage="1" sqref="D112:D113 D27:D36">
      <formula1>$H$9:$H$10</formula1>
    </dataValidation>
    <dataValidation type="list" allowBlank="1" showInputMessage="1" showErrorMessage="1" sqref="D116 D38">
      <formula1>$G$9:$G$10</formula1>
    </dataValidation>
    <dataValidation type="list" allowBlank="1" showInputMessage="1" showErrorMessage="1" sqref="D37">
      <formula1>$I$9:$I$11</formula1>
    </dataValidation>
    <dataValidation type="list" allowBlank="1" showInputMessage="1" showErrorMessage="1" sqref="F38">
      <formula1>$I$9:$I$23</formula1>
    </dataValidation>
    <dataValidation type="list" showInputMessage="1" showErrorMessage="1" sqref="E62:E65">
      <formula1>$J$9:$J$10</formula1>
    </dataValidation>
  </dataValidations>
  <hyperlinks>
    <hyperlink ref="E33" r:id="rId1" display="https://fafsa.ed.gov/FAFSA/app/schoolSearch?locale=en_EN"/>
  </hyperlinks>
  <printOptions horizontalCentered="1" verticalCentered="1"/>
  <pageMargins left="0.31496062992125984" right="0.1968503937007874" top="0.1968503937007874" bottom="0.3937007874015748" header="0" footer="0"/>
  <pageSetup fitToHeight="1" fitToWidth="1" horizontalDpi="600" verticalDpi="600" orientation="portrait" paperSize="9" scale="51" r:id="rId4"/>
  <drawing r:id="rId3"/>
  <tableParts>
    <tablePart r:id="rId2"/>
  </tableParts>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zoomScale="75" zoomScaleNormal="75" zoomScalePageLayoutView="0" workbookViewId="0" topLeftCell="A13">
      <selection activeCell="I22" sqref="I22"/>
    </sheetView>
  </sheetViews>
  <sheetFormatPr defaultColWidth="9.140625" defaultRowHeight="12.75"/>
  <cols>
    <col min="1" max="1" width="9.140625" style="118" customWidth="1"/>
    <col min="2" max="2" width="32.140625" style="60" customWidth="1"/>
    <col min="3" max="3" width="38.140625" style="60" bestFit="1" customWidth="1"/>
    <col min="4" max="4" width="16.28125" style="60" customWidth="1"/>
    <col min="5" max="5" width="14.00390625" style="60" customWidth="1"/>
    <col min="6" max="6" width="5.140625" style="65" customWidth="1"/>
    <col min="7" max="7" width="72.7109375" style="60" customWidth="1"/>
    <col min="8" max="8" width="14.28125" style="60" customWidth="1"/>
    <col min="9" max="9" width="19.57421875" style="60" customWidth="1"/>
    <col min="10" max="10" width="14.28125" style="60" customWidth="1"/>
    <col min="11" max="16384" width="9.140625" style="60" customWidth="1"/>
  </cols>
  <sheetData>
    <row r="1" spans="1:10" s="123" customFormat="1" ht="20.25">
      <c r="A1" s="146"/>
      <c r="B1" s="122" t="s">
        <v>238</v>
      </c>
      <c r="C1" s="122"/>
      <c r="D1" s="122" t="s">
        <v>294</v>
      </c>
      <c r="E1" s="122"/>
      <c r="F1" s="149"/>
      <c r="G1" s="122"/>
      <c r="H1" s="122"/>
      <c r="I1" s="122"/>
      <c r="J1" s="122"/>
    </row>
    <row r="2" spans="1:10" s="62" customFormat="1" ht="15.75">
      <c r="A2" s="147"/>
      <c r="D2" s="61" t="s">
        <v>244</v>
      </c>
      <c r="E2" s="61"/>
      <c r="F2" s="150"/>
      <c r="G2" s="61"/>
      <c r="H2" s="61"/>
      <c r="I2" s="61"/>
      <c r="J2" s="61"/>
    </row>
    <row r="3" spans="1:8" s="70" customFormat="1" ht="15.75">
      <c r="A3" s="148"/>
      <c r="D3" s="70" t="s">
        <v>202</v>
      </c>
      <c r="F3" s="148"/>
      <c r="G3" s="71"/>
      <c r="H3" s="70" t="s">
        <v>203</v>
      </c>
    </row>
    <row r="4" spans="1:6" s="70" customFormat="1" ht="15.75">
      <c r="A4" s="148"/>
      <c r="F4" s="148"/>
    </row>
    <row r="5" spans="4:11" ht="12.75">
      <c r="D5" s="120" t="s">
        <v>246</v>
      </c>
      <c r="E5" s="121"/>
      <c r="H5" s="120" t="s">
        <v>247</v>
      </c>
      <c r="I5" s="121"/>
      <c r="J5" s="120"/>
      <c r="K5" s="155"/>
    </row>
    <row r="6" spans="1:8" s="59" customFormat="1" ht="12.75">
      <c r="A6" s="118">
        <v>1</v>
      </c>
      <c r="B6" s="59" t="s">
        <v>161</v>
      </c>
      <c r="C6" s="63" t="s">
        <v>184</v>
      </c>
      <c r="D6" s="115" t="s">
        <v>375</v>
      </c>
      <c r="F6" s="118">
        <v>6</v>
      </c>
      <c r="G6" s="59" t="s">
        <v>182</v>
      </c>
      <c r="H6" s="60"/>
    </row>
    <row r="7" spans="3:10" ht="12.75">
      <c r="C7" s="63" t="s">
        <v>162</v>
      </c>
      <c r="D7" s="111">
        <v>44105</v>
      </c>
      <c r="E7" s="72">
        <f>D7+364</f>
        <v>44469</v>
      </c>
      <c r="G7" s="60" t="s">
        <v>268</v>
      </c>
      <c r="H7" s="110">
        <v>26000</v>
      </c>
      <c r="I7" s="73"/>
      <c r="J7" s="74">
        <f>H7</f>
        <v>26000</v>
      </c>
    </row>
    <row r="8" spans="3:10" ht="12.75">
      <c r="C8" s="63" t="s">
        <v>229</v>
      </c>
      <c r="D8" s="111">
        <v>43962</v>
      </c>
      <c r="H8" s="75"/>
      <c r="I8" s="73"/>
      <c r="J8" s="73"/>
    </row>
    <row r="9" spans="1:10" s="59" customFormat="1" ht="12.75">
      <c r="A9" s="118"/>
      <c r="B9" s="59" t="s">
        <v>164</v>
      </c>
      <c r="D9" s="66"/>
      <c r="F9" s="118">
        <v>7</v>
      </c>
      <c r="G9" s="59" t="s">
        <v>185</v>
      </c>
      <c r="H9" s="120" t="s">
        <v>249</v>
      </c>
      <c r="I9" s="121"/>
      <c r="J9" s="120"/>
    </row>
    <row r="10" spans="1:10" s="59" customFormat="1" ht="12.75">
      <c r="A10" s="118"/>
      <c r="B10" s="60" t="s">
        <v>163</v>
      </c>
      <c r="D10" s="111">
        <v>44095</v>
      </c>
      <c r="E10" s="77" t="s">
        <v>193</v>
      </c>
      <c r="F10" s="118"/>
      <c r="G10" s="60" t="s">
        <v>186</v>
      </c>
      <c r="H10" s="158">
        <v>340</v>
      </c>
      <c r="I10" s="78"/>
      <c r="J10" s="76"/>
    </row>
    <row r="11" spans="1:10" s="59" customFormat="1" ht="12.75">
      <c r="A11" s="118"/>
      <c r="B11" s="60" t="s">
        <v>204</v>
      </c>
      <c r="D11" s="111">
        <v>44389</v>
      </c>
      <c r="E11" s="79">
        <f>ROUND(((MAX(D11:D12)-D10)/7),0)</f>
        <v>42</v>
      </c>
      <c r="F11" s="118"/>
      <c r="G11" s="60" t="s">
        <v>191</v>
      </c>
      <c r="H11" s="158">
        <v>250</v>
      </c>
      <c r="I11" s="74">
        <f>MAX(H10:H11)</f>
        <v>340</v>
      </c>
      <c r="J11" s="80" t="s">
        <v>314</v>
      </c>
    </row>
    <row r="12" spans="1:10" s="59" customFormat="1" ht="12.75">
      <c r="A12" s="118"/>
      <c r="B12" s="67" t="s">
        <v>205</v>
      </c>
      <c r="C12" s="60" t="s">
        <v>206</v>
      </c>
      <c r="D12" s="111">
        <v>44386</v>
      </c>
      <c r="E12" s="77" t="s">
        <v>220</v>
      </c>
      <c r="F12" s="118"/>
      <c r="G12" s="60" t="s">
        <v>236</v>
      </c>
      <c r="H12" s="158">
        <v>20</v>
      </c>
      <c r="I12" s="76"/>
      <c r="J12" s="76"/>
    </row>
    <row r="13" spans="1:10" s="63" customFormat="1" ht="12.75">
      <c r="A13" s="118"/>
      <c r="D13" s="64"/>
      <c r="E13" s="77">
        <v>52</v>
      </c>
      <c r="F13" s="118"/>
      <c r="G13" s="60" t="s">
        <v>218</v>
      </c>
      <c r="H13" s="158">
        <v>90</v>
      </c>
      <c r="I13" s="315">
        <f>SUM(H12:H13)</f>
        <v>110</v>
      </c>
      <c r="J13" s="80" t="s">
        <v>315</v>
      </c>
    </row>
    <row r="14" spans="1:10" ht="12.75">
      <c r="A14" s="118">
        <v>2</v>
      </c>
      <c r="B14" s="59" t="s">
        <v>165</v>
      </c>
      <c r="C14" s="63"/>
      <c r="D14" s="66"/>
      <c r="G14" s="60" t="s">
        <v>189</v>
      </c>
      <c r="H14" s="158">
        <v>20</v>
      </c>
      <c r="I14" s="73"/>
      <c r="J14" s="73"/>
    </row>
    <row r="15" spans="2:10" ht="12.75">
      <c r="B15" s="59" t="s">
        <v>192</v>
      </c>
      <c r="D15" s="66"/>
      <c r="G15" s="60" t="s">
        <v>190</v>
      </c>
      <c r="H15" s="158">
        <v>35</v>
      </c>
      <c r="I15" s="73"/>
      <c r="J15" s="73"/>
    </row>
    <row r="16" spans="2:10" ht="12.75">
      <c r="B16" s="63" t="s">
        <v>166</v>
      </c>
      <c r="D16" s="66"/>
      <c r="G16" s="60" t="s">
        <v>243</v>
      </c>
      <c r="H16" s="158">
        <v>90</v>
      </c>
      <c r="I16" s="74">
        <v>135</v>
      </c>
      <c r="J16" s="74">
        <f>(SUM(I11:I16))*E13</f>
        <v>30420</v>
      </c>
    </row>
    <row r="17" spans="2:10" ht="12.75">
      <c r="B17" s="63" t="s">
        <v>237</v>
      </c>
      <c r="D17" s="120" t="s">
        <v>260</v>
      </c>
      <c r="E17" s="121"/>
      <c r="H17" s="66"/>
      <c r="I17" s="73"/>
      <c r="J17" s="73"/>
    </row>
    <row r="18" spans="2:10" ht="12.75">
      <c r="B18" s="60" t="s">
        <v>167</v>
      </c>
      <c r="D18" s="111">
        <v>44095</v>
      </c>
      <c r="E18" s="72">
        <f>D19-1</f>
        <v>44199</v>
      </c>
      <c r="F18" s="65">
        <v>8</v>
      </c>
      <c r="G18" s="59" t="s">
        <v>195</v>
      </c>
      <c r="H18" s="66"/>
      <c r="I18" s="73"/>
      <c r="J18" s="73"/>
    </row>
    <row r="19" spans="2:10" ht="12.75">
      <c r="B19" s="60" t="s">
        <v>169</v>
      </c>
      <c r="D19" s="111">
        <v>44200</v>
      </c>
      <c r="E19" s="72">
        <f>IF((D20&gt;0),(D20-1),(MAX(D10:D11)))</f>
        <v>44297</v>
      </c>
      <c r="G19" s="60" t="s">
        <v>281</v>
      </c>
      <c r="H19" s="158">
        <v>817</v>
      </c>
      <c r="I19" s="74">
        <v>817</v>
      </c>
      <c r="J19" s="312" t="s">
        <v>316</v>
      </c>
    </row>
    <row r="20" spans="2:10" ht="12.75">
      <c r="B20" s="60" t="s">
        <v>168</v>
      </c>
      <c r="D20" s="111">
        <v>44298</v>
      </c>
      <c r="E20" s="72">
        <f>IF((D21&gt;0),(D21-1),(MAX(D11:D12)))</f>
        <v>44389</v>
      </c>
      <c r="G20" s="60" t="s">
        <v>280</v>
      </c>
      <c r="H20" s="158">
        <v>400</v>
      </c>
      <c r="I20" s="313"/>
      <c r="J20" s="314"/>
    </row>
    <row r="21" spans="2:10" ht="12.75">
      <c r="B21" s="60" t="s">
        <v>170</v>
      </c>
      <c r="D21" s="111"/>
      <c r="E21" s="72">
        <f>IF((D22&gt;0),(D22-1),(MAX(D11:D12)))</f>
        <v>44389</v>
      </c>
      <c r="G21" s="60" t="s">
        <v>295</v>
      </c>
      <c r="H21" s="158">
        <v>530</v>
      </c>
      <c r="I21" s="313"/>
      <c r="J21" s="314"/>
    </row>
    <row r="22" spans="5:10" ht="12.75">
      <c r="E22" s="72">
        <f>E18</f>
        <v>44199</v>
      </c>
      <c r="F22" s="151" t="s">
        <v>239</v>
      </c>
      <c r="G22" s="157" t="s">
        <v>387</v>
      </c>
      <c r="H22" s="158">
        <v>648</v>
      </c>
      <c r="I22" s="74">
        <f>SUM(H20:H22)</f>
        <v>1578</v>
      </c>
      <c r="J22" s="314" t="s">
        <v>317</v>
      </c>
    </row>
    <row r="23" spans="1:10" ht="12.75">
      <c r="A23" s="118">
        <v>3</v>
      </c>
      <c r="B23" s="59" t="s">
        <v>209</v>
      </c>
      <c r="D23" s="66"/>
      <c r="E23" s="72">
        <f>IF((D20&gt;1),(D20-1),E7)</f>
        <v>44297</v>
      </c>
      <c r="F23" s="151" t="s">
        <v>240</v>
      </c>
      <c r="G23" s="112" t="s">
        <v>318</v>
      </c>
      <c r="H23" s="158">
        <v>0</v>
      </c>
      <c r="I23" s="313"/>
      <c r="J23" s="314"/>
    </row>
    <row r="24" spans="3:10" ht="12.75">
      <c r="C24" s="63" t="s">
        <v>187</v>
      </c>
      <c r="D24" s="66"/>
      <c r="E24" s="72">
        <f>IF((D21&gt;1),(D21-1),E7)</f>
        <v>44469</v>
      </c>
      <c r="F24" s="151" t="s">
        <v>241</v>
      </c>
      <c r="G24" s="112" t="s">
        <v>319</v>
      </c>
      <c r="H24" s="158">
        <v>0</v>
      </c>
      <c r="I24" s="313"/>
      <c r="J24" s="314"/>
    </row>
    <row r="25" spans="3:10" ht="12.75">
      <c r="C25" s="63" t="s">
        <v>188</v>
      </c>
      <c r="D25" s="66"/>
      <c r="E25" s="72">
        <f>IF((D22&gt;1),(D22-1),E7)</f>
        <v>44469</v>
      </c>
      <c r="F25" s="151" t="s">
        <v>242</v>
      </c>
      <c r="G25" s="112" t="s">
        <v>320</v>
      </c>
      <c r="H25" s="158">
        <v>0</v>
      </c>
      <c r="I25" s="74">
        <f>SUM(H23:H25)</f>
        <v>0</v>
      </c>
      <c r="J25" s="312" t="s">
        <v>321</v>
      </c>
    </row>
    <row r="26" spans="3:4" ht="12.75">
      <c r="C26" s="68" t="s">
        <v>173</v>
      </c>
      <c r="D26" s="113" t="s">
        <v>210</v>
      </c>
    </row>
    <row r="27" spans="3:4" ht="12.75">
      <c r="C27" s="68" t="s">
        <v>174</v>
      </c>
      <c r="D27" s="113" t="s">
        <v>211</v>
      </c>
    </row>
    <row r="28" spans="3:11" ht="12.75">
      <c r="C28" s="68" t="s">
        <v>175</v>
      </c>
      <c r="D28" s="113" t="s">
        <v>219</v>
      </c>
      <c r="F28" s="65">
        <v>9</v>
      </c>
      <c r="G28" s="59" t="s">
        <v>250</v>
      </c>
      <c r="H28" s="59"/>
      <c r="I28" s="120" t="s">
        <v>248</v>
      </c>
      <c r="J28" s="121"/>
      <c r="K28" s="155"/>
    </row>
    <row r="29" spans="3:10" ht="12.75">
      <c r="C29" s="68" t="s">
        <v>176</v>
      </c>
      <c r="D29" s="113" t="s">
        <v>212</v>
      </c>
      <c r="G29" s="63" t="s">
        <v>171</v>
      </c>
      <c r="H29" s="63" t="s">
        <v>172</v>
      </c>
      <c r="I29" s="154">
        <v>43962</v>
      </c>
      <c r="J29" s="60" t="s">
        <v>296</v>
      </c>
    </row>
    <row r="30" spans="3:9" ht="12.75">
      <c r="C30" s="68" t="s">
        <v>177</v>
      </c>
      <c r="D30" s="113" t="s">
        <v>213</v>
      </c>
      <c r="G30" s="63" t="s">
        <v>217</v>
      </c>
      <c r="H30" s="63" t="s">
        <v>172</v>
      </c>
      <c r="I30" s="154">
        <v>44136</v>
      </c>
    </row>
    <row r="31" spans="3:10" ht="12.75">
      <c r="C31" s="68" t="s">
        <v>178</v>
      </c>
      <c r="D31" s="113" t="s">
        <v>214</v>
      </c>
      <c r="G31" s="63" t="s">
        <v>181</v>
      </c>
      <c r="H31" s="59" t="s">
        <v>146</v>
      </c>
      <c r="I31" s="118" t="s">
        <v>36</v>
      </c>
      <c r="J31" s="118" t="s">
        <v>145</v>
      </c>
    </row>
    <row r="32" spans="3:10" ht="12.75">
      <c r="C32" s="68" t="s">
        <v>179</v>
      </c>
      <c r="D32" s="113" t="s">
        <v>215</v>
      </c>
      <c r="G32" s="63" t="s">
        <v>245</v>
      </c>
      <c r="H32" s="60" t="s">
        <v>144</v>
      </c>
      <c r="I32" s="119">
        <v>1.282</v>
      </c>
      <c r="J32" s="119">
        <v>0</v>
      </c>
    </row>
    <row r="33" spans="3:10" ht="12.75">
      <c r="C33" s="68" t="s">
        <v>180</v>
      </c>
      <c r="D33" s="113" t="s">
        <v>216</v>
      </c>
      <c r="H33" s="60" t="s">
        <v>147</v>
      </c>
      <c r="I33" s="119">
        <v>1.338</v>
      </c>
      <c r="J33" s="119">
        <v>0</v>
      </c>
    </row>
    <row r="34" spans="8:10" ht="12.75">
      <c r="H34" s="60" t="s">
        <v>148</v>
      </c>
      <c r="I34" s="119">
        <v>1.367</v>
      </c>
      <c r="J34" s="119">
        <v>0</v>
      </c>
    </row>
    <row r="35" spans="1:11" ht="12.75">
      <c r="A35" s="118">
        <v>4</v>
      </c>
      <c r="B35" s="59" t="s">
        <v>297</v>
      </c>
      <c r="H35" s="60" t="s">
        <v>149</v>
      </c>
      <c r="I35" s="119"/>
      <c r="J35" s="119">
        <v>0</v>
      </c>
      <c r="K35" s="59"/>
    </row>
    <row r="36" spans="2:11" ht="12.75">
      <c r="B36" s="63" t="s">
        <v>183</v>
      </c>
      <c r="D36" s="120" t="s">
        <v>257</v>
      </c>
      <c r="E36" s="120"/>
      <c r="F36" s="152"/>
      <c r="H36" s="60" t="s">
        <v>150</v>
      </c>
      <c r="I36" s="119">
        <v>0</v>
      </c>
      <c r="J36" s="119"/>
      <c r="K36" s="63"/>
    </row>
    <row r="37" spans="2:10" ht="12.75">
      <c r="B37" s="63" t="s">
        <v>298</v>
      </c>
      <c r="C37" s="63" t="s">
        <v>79</v>
      </c>
      <c r="D37" s="116" t="s">
        <v>159</v>
      </c>
      <c r="E37" s="116" t="s">
        <v>160</v>
      </c>
      <c r="H37" s="60" t="s">
        <v>151</v>
      </c>
      <c r="I37" s="119">
        <v>0</v>
      </c>
      <c r="J37" s="119"/>
    </row>
    <row r="38" spans="1:11" s="59" customFormat="1" ht="12.75">
      <c r="A38" s="118"/>
      <c r="B38" s="63"/>
      <c r="C38" s="60" t="s">
        <v>156</v>
      </c>
      <c r="D38" s="113">
        <v>1.057</v>
      </c>
      <c r="E38" s="113">
        <v>0</v>
      </c>
      <c r="F38" s="118"/>
      <c r="G38" s="60"/>
      <c r="H38" s="60" t="s">
        <v>152</v>
      </c>
      <c r="I38" s="119"/>
      <c r="J38" s="119"/>
      <c r="K38" s="60"/>
    </row>
    <row r="39" spans="1:11" s="63" customFormat="1" ht="12.75">
      <c r="A39" s="118"/>
      <c r="B39" s="60"/>
      <c r="C39" s="60" t="s">
        <v>157</v>
      </c>
      <c r="D39" s="113">
        <v>1.057</v>
      </c>
      <c r="E39" s="113">
        <v>0</v>
      </c>
      <c r="F39" s="118"/>
      <c r="G39" s="60"/>
      <c r="H39" s="60" t="s">
        <v>153</v>
      </c>
      <c r="I39" s="119"/>
      <c r="J39" s="119"/>
      <c r="K39" s="60"/>
    </row>
    <row r="40" spans="3:10" ht="12.75">
      <c r="C40" s="60" t="s">
        <v>158</v>
      </c>
      <c r="D40" s="113">
        <v>4.228</v>
      </c>
      <c r="E40" s="113">
        <v>0</v>
      </c>
      <c r="G40" s="43"/>
      <c r="H40" s="60" t="s">
        <v>154</v>
      </c>
      <c r="I40" s="119"/>
      <c r="J40" s="119"/>
    </row>
    <row r="41" spans="3:10" ht="12.75">
      <c r="C41" s="77" t="s">
        <v>208</v>
      </c>
      <c r="D41" s="117">
        <f>MAX(D38:D40)</f>
        <v>4.228</v>
      </c>
      <c r="E41" s="67"/>
      <c r="G41" s="81"/>
      <c r="H41" s="60" t="s">
        <v>155</v>
      </c>
      <c r="I41" s="119"/>
      <c r="J41" s="119"/>
    </row>
    <row r="42" spans="7:10" ht="12.75">
      <c r="G42" s="81"/>
      <c r="H42" s="77" t="s">
        <v>194</v>
      </c>
      <c r="I42" s="117">
        <f>MAX(I32:I41)</f>
        <v>1.367</v>
      </c>
      <c r="J42" s="117">
        <f>MAX(J32:J41)</f>
        <v>0</v>
      </c>
    </row>
    <row r="43" spans="1:10" ht="13.5" thickBot="1">
      <c r="A43" s="118">
        <v>5</v>
      </c>
      <c r="B43" s="59" t="s">
        <v>270</v>
      </c>
      <c r="G43" s="81"/>
      <c r="H43" s="82"/>
      <c r="I43" s="82"/>
      <c r="J43" s="82"/>
    </row>
    <row r="44" spans="2:9" ht="13.5" thickBot="1">
      <c r="B44" s="63" t="s">
        <v>259</v>
      </c>
      <c r="G44" s="77" t="s">
        <v>207</v>
      </c>
      <c r="H44" s="77">
        <f>IF((I44&gt;0),I44,(ROUND((I42+(I42*(J42/100))),2)))</f>
        <v>1.4</v>
      </c>
      <c r="I44" s="186">
        <v>1.4</v>
      </c>
    </row>
    <row r="45" spans="2:10" ht="12.75">
      <c r="B45" s="63"/>
      <c r="D45" s="120" t="s">
        <v>258</v>
      </c>
      <c r="E45" s="120"/>
      <c r="F45" s="152"/>
      <c r="I45" s="63"/>
      <c r="J45" s="63"/>
    </row>
    <row r="46" spans="2:8" ht="25.5">
      <c r="B46" s="83" t="s">
        <v>82</v>
      </c>
      <c r="C46" s="83" t="s">
        <v>72</v>
      </c>
      <c r="D46" s="83" t="s">
        <v>225</v>
      </c>
      <c r="E46" s="83" t="s">
        <v>226</v>
      </c>
      <c r="G46" s="77" t="s">
        <v>286</v>
      </c>
      <c r="H46" s="84">
        <f>ROUND(((SUM(J7:J25))*H44),0)</f>
        <v>78988</v>
      </c>
    </row>
    <row r="47" spans="2:8" ht="12.75">
      <c r="B47" s="67" t="s">
        <v>221</v>
      </c>
      <c r="C47" s="114">
        <v>3500</v>
      </c>
      <c r="D47" s="114">
        <v>2000</v>
      </c>
      <c r="E47" s="114">
        <v>6000</v>
      </c>
      <c r="G47" s="77" t="s">
        <v>227</v>
      </c>
      <c r="H47" s="85">
        <f>ROUND((H46*0.1),0)</f>
        <v>7899</v>
      </c>
    </row>
    <row r="48" spans="2:8" ht="12.75">
      <c r="B48" s="67" t="s">
        <v>222</v>
      </c>
      <c r="C48" s="114">
        <v>4500</v>
      </c>
      <c r="D48" s="114">
        <v>2000</v>
      </c>
      <c r="E48" s="114">
        <v>6000</v>
      </c>
      <c r="G48" s="77"/>
      <c r="H48" s="84">
        <f>SUM(H46:H47)</f>
        <v>86887</v>
      </c>
    </row>
    <row r="49" spans="2:8" ht="12.75">
      <c r="B49" s="67" t="s">
        <v>223</v>
      </c>
      <c r="C49" s="114">
        <v>5500</v>
      </c>
      <c r="D49" s="114">
        <v>2000</v>
      </c>
      <c r="E49" s="114">
        <v>7000</v>
      </c>
      <c r="G49" s="77" t="s">
        <v>228</v>
      </c>
      <c r="H49" s="77">
        <f>H48/100*D41</f>
        <v>3673.58236</v>
      </c>
    </row>
    <row r="50" spans="2:8" ht="13.5" thickBot="1">
      <c r="B50" s="67" t="s">
        <v>224</v>
      </c>
      <c r="C50" s="114">
        <v>5500</v>
      </c>
      <c r="D50" s="114">
        <v>2000</v>
      </c>
      <c r="E50" s="114">
        <v>7000</v>
      </c>
      <c r="G50" s="77" t="s">
        <v>232</v>
      </c>
      <c r="H50" s="86">
        <f>SUM(H48:H49)</f>
        <v>90560.58236</v>
      </c>
    </row>
    <row r="51" spans="2:5" ht="13.5" thickTop="1">
      <c r="B51" s="67" t="s">
        <v>85</v>
      </c>
      <c r="C51" s="114">
        <v>0</v>
      </c>
      <c r="D51" s="114">
        <v>0</v>
      </c>
      <c r="E51" s="114">
        <v>20500</v>
      </c>
    </row>
    <row r="52" ht="12.75">
      <c r="E52" s="69"/>
    </row>
    <row r="54" spans="1:6" s="59" customFormat="1" ht="12.75">
      <c r="A54" s="118">
        <v>10</v>
      </c>
      <c r="B54" s="59" t="s">
        <v>269</v>
      </c>
      <c r="F54" s="118"/>
    </row>
    <row r="55" spans="3:5" ht="12.75">
      <c r="C55" s="60" t="s">
        <v>83</v>
      </c>
      <c r="D55" s="60" t="s">
        <v>84</v>
      </c>
      <c r="E55" s="60" t="s">
        <v>271</v>
      </c>
    </row>
    <row r="56" spans="2:5" ht="12.75">
      <c r="B56" s="60" t="s">
        <v>272</v>
      </c>
      <c r="C56" s="156" t="e">
        <f>#REF!</f>
        <v>#REF!</v>
      </c>
      <c r="D56" s="156">
        <f>E7</f>
        <v>44469</v>
      </c>
      <c r="E56" s="60" t="e">
        <f>ROUND(((D56-C56)/7),0)</f>
        <v>#REF!</v>
      </c>
    </row>
    <row r="57" spans="2:5" ht="12.75">
      <c r="B57" s="60" t="s">
        <v>273</v>
      </c>
      <c r="C57" s="156" t="e">
        <f>C56</f>
        <v>#REF!</v>
      </c>
      <c r="D57" s="156">
        <f>D11</f>
        <v>44389</v>
      </c>
      <c r="E57" s="60" t="e">
        <f>ROUND(((D57-C57)/7),0)</f>
        <v>#REF!</v>
      </c>
    </row>
    <row r="59" spans="1:4" ht="12.75">
      <c r="A59" s="118">
        <v>11</v>
      </c>
      <c r="B59" s="60" t="s">
        <v>334</v>
      </c>
      <c r="C59" s="60" t="s">
        <v>335</v>
      </c>
      <c r="D59" s="60" t="s">
        <v>336</v>
      </c>
    </row>
    <row r="60" ht="12.75">
      <c r="B60" s="60" t="s">
        <v>337</v>
      </c>
    </row>
    <row r="61" ht="12.75">
      <c r="B61" s="60" t="s">
        <v>338</v>
      </c>
    </row>
    <row r="62" ht="12.75">
      <c r="B62" s="60" t="s">
        <v>272</v>
      </c>
    </row>
  </sheetData>
  <sheetProtection password="FA58" sheet="1" selectLockedCells="1"/>
  <printOptions/>
  <pageMargins left="0.75" right="0.75" top="1" bottom="1" header="0.5" footer="0.5"/>
  <pageSetup fitToHeight="0"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tabSelected="1" zoomScale="75" zoomScaleNormal="75" zoomScalePageLayoutView="0" workbookViewId="0" topLeftCell="A13">
      <selection activeCell="C39" sqref="C39"/>
    </sheetView>
  </sheetViews>
  <sheetFormatPr defaultColWidth="9.140625" defaultRowHeight="12.75"/>
  <cols>
    <col min="1" max="1" width="81.140625" style="20" bestFit="1" customWidth="1"/>
    <col min="2" max="2" width="46.28125" style="20" customWidth="1"/>
    <col min="3" max="3" width="116.8515625" style="20" customWidth="1"/>
    <col min="4" max="4" width="9.140625" style="20" customWidth="1"/>
    <col min="5" max="5" width="0" style="20" hidden="1" customWidth="1"/>
    <col min="6" max="16384" width="9.140625" style="20" customWidth="1"/>
  </cols>
  <sheetData>
    <row r="1" spans="1:5" s="8" customFormat="1" ht="12.75">
      <c r="A1" s="87" t="s">
        <v>88</v>
      </c>
      <c r="B1" s="88"/>
      <c r="C1" s="89"/>
      <c r="E1" s="90" t="s">
        <v>101</v>
      </c>
    </row>
    <row r="2" spans="1:5" s="8" customFormat="1" ht="12.75">
      <c r="A2" s="91" t="s">
        <v>87</v>
      </c>
      <c r="B2" s="92"/>
      <c r="C2" s="93"/>
      <c r="E2" s="90" t="s">
        <v>2</v>
      </c>
    </row>
    <row r="3" spans="1:5" s="8" customFormat="1" ht="12.75">
      <c r="A3" s="91" t="s">
        <v>107</v>
      </c>
      <c r="B3" s="92"/>
      <c r="C3" s="93"/>
      <c r="E3" s="90"/>
    </row>
    <row r="4" spans="1:5" s="8" customFormat="1" ht="12.75">
      <c r="A4" s="91"/>
      <c r="B4" s="92"/>
      <c r="C4" s="93"/>
      <c r="E4" s="90" t="s">
        <v>3</v>
      </c>
    </row>
    <row r="5" spans="1:5" s="8" customFormat="1" ht="12.75">
      <c r="A5" s="91"/>
      <c r="B5" s="92" t="s">
        <v>89</v>
      </c>
      <c r="C5" s="93" t="s">
        <v>94</v>
      </c>
      <c r="E5" s="90"/>
    </row>
    <row r="6" spans="1:3" s="8" customFormat="1" ht="15.75">
      <c r="A6" s="94" t="s">
        <v>20</v>
      </c>
      <c r="B6" s="92" t="s">
        <v>95</v>
      </c>
      <c r="C6" s="95"/>
    </row>
    <row r="7" spans="1:3" s="8" customFormat="1" ht="15.75">
      <c r="A7" s="96" t="s">
        <v>197</v>
      </c>
      <c r="B7" s="35" t="s">
        <v>55</v>
      </c>
      <c r="C7" s="97" t="str">
        <f aca="true" t="shared" si="0" ref="C7:C12">IF((B7="n"),"Go back to the Cost of Attendance and enter it or we cannot process your application","")</f>
        <v>Go back to the Cost of Attendance and enter it or we cannot process your application</v>
      </c>
    </row>
    <row r="8" spans="1:3" s="8" customFormat="1" ht="15.75">
      <c r="A8" s="96" t="s">
        <v>198</v>
      </c>
      <c r="B8" s="35" t="s">
        <v>55</v>
      </c>
      <c r="C8" s="97" t="str">
        <f t="shared" si="0"/>
        <v>Go back to the Cost of Attendance and enter it or we cannot process your application</v>
      </c>
    </row>
    <row r="9" spans="1:3" s="8" customFormat="1" ht="15.75">
      <c r="A9" s="96" t="s">
        <v>199</v>
      </c>
      <c r="B9" s="35" t="s">
        <v>55</v>
      </c>
      <c r="C9" s="97" t="str">
        <f t="shared" si="0"/>
        <v>Go back to the Cost of Attendance and enter it or we cannot process your application</v>
      </c>
    </row>
    <row r="10" spans="1:3" ht="15.75">
      <c r="A10" s="96" t="s">
        <v>200</v>
      </c>
      <c r="B10" s="35" t="s">
        <v>55</v>
      </c>
      <c r="C10" s="97" t="str">
        <f t="shared" si="0"/>
        <v>Go back to the Cost of Attendance and enter it or we cannot process your application</v>
      </c>
    </row>
    <row r="11" spans="1:3" ht="15.75">
      <c r="A11" s="96" t="s">
        <v>201</v>
      </c>
      <c r="B11" s="35" t="s">
        <v>55</v>
      </c>
      <c r="C11" s="97" t="str">
        <f t="shared" si="0"/>
        <v>Go back to the Cost of Attendance and enter it or we cannot process your application</v>
      </c>
    </row>
    <row r="12" spans="1:3" ht="15.75">
      <c r="A12" s="96" t="s">
        <v>196</v>
      </c>
      <c r="B12" s="35" t="s">
        <v>55</v>
      </c>
      <c r="C12" s="97" t="str">
        <f t="shared" si="0"/>
        <v>Go back to the Cost of Attendance and enter it or we cannot process your application</v>
      </c>
    </row>
    <row r="13" ht="12.75">
      <c r="B13" s="44"/>
    </row>
    <row r="14" spans="2:3" ht="12.75">
      <c r="B14" s="98"/>
      <c r="C14" s="99"/>
    </row>
    <row r="15" spans="1:3" ht="15.75">
      <c r="A15" s="100" t="s">
        <v>97</v>
      </c>
      <c r="B15" s="98"/>
      <c r="C15" s="97"/>
    </row>
    <row r="16" spans="1:2" ht="12.75">
      <c r="A16" s="96" t="s">
        <v>111</v>
      </c>
      <c r="B16" s="35" t="s">
        <v>2</v>
      </c>
    </row>
    <row r="17" spans="1:3" ht="15.75">
      <c r="A17" s="96">
        <f>IF((B16="N"),"Have you signed up for selective service","")</f>
      </c>
      <c r="B17" s="35" t="s">
        <v>55</v>
      </c>
      <c r="C17" s="97"/>
    </row>
    <row r="18" spans="1:3" ht="15.75">
      <c r="A18" s="96" t="str">
        <f>IF((B17="N"),"Have you attached proof you are exempt from selective service","")</f>
        <v>Have you attached proof you are exempt from selective service</v>
      </c>
      <c r="B18" s="35" t="s">
        <v>55</v>
      </c>
      <c r="C18" s="97" t="str">
        <f>IF(((B18="n")*AND(B17="n")),"Application Rejected","")</f>
        <v>Application Rejected</v>
      </c>
    </row>
    <row r="19" spans="1:3" ht="15.75">
      <c r="A19" s="96"/>
      <c r="B19" s="98"/>
      <c r="C19" s="97"/>
    </row>
    <row r="20" spans="1:3" ht="15.75">
      <c r="A20" s="100" t="s">
        <v>98</v>
      </c>
      <c r="B20" s="98"/>
      <c r="C20" s="97"/>
    </row>
    <row r="21" spans="1:3" ht="15.75">
      <c r="A21" s="96" t="s">
        <v>382</v>
      </c>
      <c r="B21" s="35" t="s">
        <v>55</v>
      </c>
      <c r="C21" s="97" t="str">
        <f>IF((B21="n"),"Application Rejected","")</f>
        <v>Application Rejected</v>
      </c>
    </row>
    <row r="22" spans="1:3" ht="15.75">
      <c r="A22" s="96" t="s">
        <v>96</v>
      </c>
      <c r="B22" s="35" t="s">
        <v>55</v>
      </c>
      <c r="C22" s="97"/>
    </row>
    <row r="23" spans="1:3" ht="15.75">
      <c r="A23" s="96">
        <f>IF((B22="Y"),"Have you attached your PLUS MPN","")</f>
      </c>
      <c r="B23" s="35" t="s">
        <v>55</v>
      </c>
      <c r="C23" s="97">
        <f>IF(((B23="n")*AND(B22="y")),"Application Rejected","")</f>
      </c>
    </row>
    <row r="24" spans="1:3" ht="15.75">
      <c r="A24" s="96">
        <f>IF((B22="Y"),"Have you attached your Credit Check result email or screenshot","")</f>
      </c>
      <c r="B24" s="35" t="s">
        <v>55</v>
      </c>
      <c r="C24" s="97">
        <f>IF(((B24="n")*AND(B22="y")),"Application Rejected","")</f>
      </c>
    </row>
    <row r="25" spans="1:3" ht="15.75">
      <c r="A25" s="96"/>
      <c r="B25" s="98"/>
      <c r="C25" s="97"/>
    </row>
    <row r="26" spans="1:3" ht="15.75">
      <c r="A26" s="100" t="s">
        <v>99</v>
      </c>
      <c r="B26" s="98"/>
      <c r="C26" s="97"/>
    </row>
    <row r="27" spans="1:3" ht="15.75">
      <c r="A27" s="96" t="s">
        <v>100</v>
      </c>
      <c r="B27" s="35" t="s">
        <v>55</v>
      </c>
      <c r="C27" s="97" t="str">
        <f>IF((B27="n"),"Application Rejected","")</f>
        <v>Application Rejected</v>
      </c>
    </row>
    <row r="28" spans="1:3" ht="15.75">
      <c r="A28" s="96"/>
      <c r="B28" s="98"/>
      <c r="C28" s="97">
        <f>IF((B28="n"),"Application Rejected","")</f>
      </c>
    </row>
    <row r="29" spans="1:3" s="104" customFormat="1" ht="16.5" thickBot="1">
      <c r="A29" s="101" t="s">
        <v>108</v>
      </c>
      <c r="B29" s="102"/>
      <c r="C29" s="103"/>
    </row>
    <row r="30" spans="1:12" s="383" customFormat="1" ht="20.25">
      <c r="A30" s="379" t="s">
        <v>381</v>
      </c>
      <c r="B30" s="380"/>
      <c r="C30" s="381"/>
      <c r="D30" s="382"/>
      <c r="E30" s="382"/>
      <c r="F30" s="382"/>
      <c r="G30" s="382"/>
      <c r="H30" s="382"/>
      <c r="I30" s="382"/>
      <c r="J30" s="382"/>
      <c r="K30" s="382"/>
      <c r="L30" s="382"/>
    </row>
    <row r="31" spans="1:12" ht="15.75">
      <c r="A31" s="372" t="s">
        <v>380</v>
      </c>
      <c r="B31" s="378"/>
      <c r="C31" s="370" t="s">
        <v>379</v>
      </c>
      <c r="D31"/>
      <c r="E31"/>
      <c r="F31"/>
      <c r="G31"/>
      <c r="H31"/>
      <c r="I31"/>
      <c r="J31"/>
      <c r="K31"/>
      <c r="L31"/>
    </row>
    <row r="32" spans="1:12" ht="15.75">
      <c r="A32" s="369" t="s">
        <v>378</v>
      </c>
      <c r="B32" s="377"/>
      <c r="C32" s="367"/>
      <c r="D32"/>
      <c r="E32"/>
      <c r="F32"/>
      <c r="G32"/>
      <c r="H32"/>
      <c r="I32"/>
      <c r="J32"/>
      <c r="K32"/>
      <c r="L32"/>
    </row>
    <row r="33" spans="1:12" ht="15.75">
      <c r="A33" s="369" t="s">
        <v>377</v>
      </c>
      <c r="B33" s="377"/>
      <c r="C33" s="367"/>
      <c r="D33"/>
      <c r="E33"/>
      <c r="F33"/>
      <c r="G33"/>
      <c r="H33"/>
      <c r="I33"/>
      <c r="J33"/>
      <c r="K33"/>
      <c r="L33"/>
    </row>
    <row r="34" spans="1:12" ht="15.75">
      <c r="A34" s="366" t="s">
        <v>386</v>
      </c>
      <c r="B34" s="376"/>
      <c r="C34" s="364"/>
      <c r="D34"/>
      <c r="E34"/>
      <c r="F34"/>
      <c r="G34"/>
      <c r="H34"/>
      <c r="I34"/>
      <c r="J34"/>
      <c r="K34"/>
      <c r="L34"/>
    </row>
    <row r="35" spans="1:12" ht="15.75">
      <c r="A35" s="375"/>
      <c r="B35" s="374"/>
      <c r="C35" s="373"/>
      <c r="D35"/>
      <c r="E35"/>
      <c r="F35"/>
      <c r="G35"/>
      <c r="H35"/>
      <c r="I35"/>
      <c r="J35"/>
      <c r="K35"/>
      <c r="L35"/>
    </row>
    <row r="36" spans="1:12" ht="15.75">
      <c r="A36" s="372" t="s">
        <v>383</v>
      </c>
      <c r="B36" s="371"/>
      <c r="C36" s="370" t="s">
        <v>376</v>
      </c>
      <c r="D36"/>
      <c r="E36"/>
      <c r="F36"/>
      <c r="G36"/>
      <c r="H36"/>
      <c r="I36"/>
      <c r="J36"/>
      <c r="K36"/>
      <c r="L36"/>
    </row>
    <row r="37" spans="1:12" ht="15.75">
      <c r="A37" s="369" t="s">
        <v>384</v>
      </c>
      <c r="B37" s="368"/>
      <c r="C37" s="367"/>
      <c r="D37"/>
      <c r="E37"/>
      <c r="F37"/>
      <c r="G37"/>
      <c r="H37"/>
      <c r="I37"/>
      <c r="J37"/>
      <c r="K37"/>
      <c r="L37"/>
    </row>
    <row r="38" spans="1:12" ht="15.75">
      <c r="A38" s="366" t="s">
        <v>385</v>
      </c>
      <c r="B38" s="365"/>
      <c r="C38" s="364"/>
      <c r="D38"/>
      <c r="E38"/>
      <c r="F38"/>
      <c r="G38"/>
      <c r="H38"/>
      <c r="I38"/>
      <c r="J38"/>
      <c r="K38"/>
      <c r="L38"/>
    </row>
  </sheetData>
  <sheetProtection selectLockedCells="1"/>
  <dataValidations count="2">
    <dataValidation type="list" allowBlank="1" showInputMessage="1" showErrorMessage="1" sqref="B16:B18 B7:B12 B21:B24 B27">
      <formula1>$E$2:$E$5</formula1>
    </dataValidation>
    <dataValidation type="list" showInputMessage="1" showErrorMessage="1" sqref="C32:C35">
      <formula1>$J$9:$J$10</formula1>
    </dataValidation>
  </dataValidations>
  <printOptions/>
  <pageMargins left="0.75" right="0.75" top="1" bottom="1" header="0.5" footer="0.5"/>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Billie Fritsche</dc:creator>
  <cp:keywords/>
  <dc:description/>
  <cp:lastModifiedBy>Billie Fritsche</cp:lastModifiedBy>
  <cp:lastPrinted>2020-05-12T12:30:04Z</cp:lastPrinted>
  <dcterms:created xsi:type="dcterms:W3CDTF">2009-04-02T10:59:38Z</dcterms:created>
  <dcterms:modified xsi:type="dcterms:W3CDTF">2020-06-29T09:38:19Z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0x010100FCB10990C5A2C34389710846C7283E2F</vt:lpwstr>
  </property>
</Properties>
</file>